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IP\Documents\Tickets\8588\"/>
    </mc:Choice>
  </mc:AlternateContent>
  <xr:revisionPtr revIDLastSave="0" documentId="8_{9E5FCEA2-D98E-4136-889D-1A9D4936C49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artage" sheetId="1" r:id="rId1"/>
    <sheet name="Suppletie" sheetId="2" r:id="rId2"/>
    <sheet name="Staffel" sheetId="3" r:id="rId3"/>
    <sheet name="Huur" sheetId="4" r:id="rId4"/>
    <sheet name="Uitkoo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WbbRJj5/DmRzetdl0u31LWPXmcQ=="/>
    </ext>
  </extLst>
</workbook>
</file>

<file path=xl/calcChain.xml><?xml version="1.0" encoding="utf-8"?>
<calcChain xmlns="http://schemas.openxmlformats.org/spreadsheetml/2006/main">
  <c r="C23" i="1" l="1"/>
  <c r="C78" i="5"/>
  <c r="C92" i="5" s="1"/>
  <c r="D92" i="5" s="1"/>
  <c r="C77" i="5"/>
  <c r="C64" i="5" s="1"/>
  <c r="C74" i="5"/>
  <c r="P73" i="5"/>
  <c r="K73" i="5"/>
  <c r="C73" i="5" s="1"/>
  <c r="C72" i="5"/>
  <c r="P71" i="5"/>
  <c r="K71" i="5"/>
  <c r="C71" i="5" s="1"/>
  <c r="C56" i="5"/>
  <c r="C55" i="5"/>
  <c r="C54" i="5"/>
  <c r="C53" i="5"/>
  <c r="C52" i="5"/>
  <c r="E46" i="5"/>
  <c r="C46" i="5" s="1"/>
  <c r="D46" i="5"/>
  <c r="P42" i="5"/>
  <c r="K42" i="5"/>
  <c r="C42" i="5"/>
  <c r="R41" i="5"/>
  <c r="Q41" i="5"/>
  <c r="P41" i="5"/>
  <c r="K41" i="5"/>
  <c r="C41" i="5"/>
  <c r="F35" i="5"/>
  <c r="F36" i="5" s="1"/>
  <c r="C26" i="5"/>
  <c r="P25" i="5"/>
  <c r="K25" i="5"/>
  <c r="C25" i="5" s="1"/>
  <c r="C24" i="5"/>
  <c r="C23" i="5"/>
  <c r="N29" i="4"/>
  <c r="P29" i="4" s="1"/>
  <c r="I29" i="4"/>
  <c r="K29" i="4" s="1"/>
  <c r="C29" i="4"/>
  <c r="P28" i="4"/>
  <c r="O28" i="4"/>
  <c r="N28" i="4"/>
  <c r="I28" i="4"/>
  <c r="C28" i="4"/>
  <c r="F22" i="4"/>
  <c r="C22" i="4"/>
  <c r="D22" i="4" s="1"/>
  <c r="F21" i="4"/>
  <c r="D21" i="4"/>
  <c r="C21" i="4"/>
  <c r="C14" i="4"/>
  <c r="N13" i="4"/>
  <c r="I13" i="4"/>
  <c r="C13" i="4" s="1"/>
  <c r="C12" i="4"/>
  <c r="C11" i="4"/>
  <c r="C92" i="3"/>
  <c r="D92" i="3" s="1"/>
  <c r="C78" i="3"/>
  <c r="C77" i="3"/>
  <c r="C64" i="3" s="1"/>
  <c r="C74" i="3"/>
  <c r="P73" i="3"/>
  <c r="K73" i="3"/>
  <c r="C72" i="3"/>
  <c r="C55" i="3"/>
  <c r="C54" i="3"/>
  <c r="C53" i="3"/>
  <c r="C52" i="3"/>
  <c r="E46" i="3"/>
  <c r="C46" i="3" s="1"/>
  <c r="D46" i="3"/>
  <c r="K43" i="3"/>
  <c r="P42" i="3"/>
  <c r="R42" i="3" s="1"/>
  <c r="K42" i="3"/>
  <c r="M42" i="3" s="1"/>
  <c r="C42" i="3"/>
  <c r="R41" i="3"/>
  <c r="P41" i="3"/>
  <c r="M41" i="3"/>
  <c r="L41" i="3" s="1"/>
  <c r="K41" i="3"/>
  <c r="C41" i="3"/>
  <c r="C43" i="3" s="1"/>
  <c r="F35" i="3"/>
  <c r="F36" i="3" s="1"/>
  <c r="C26" i="3"/>
  <c r="P25" i="3"/>
  <c r="K25" i="3"/>
  <c r="C25" i="3"/>
  <c r="C24" i="3"/>
  <c r="C23" i="3"/>
  <c r="C71" i="3" s="1"/>
  <c r="C85" i="2"/>
  <c r="C79" i="2"/>
  <c r="C80" i="2" s="1"/>
  <c r="C98" i="2" s="1"/>
  <c r="D98" i="2" s="1"/>
  <c r="C76" i="2"/>
  <c r="P75" i="2"/>
  <c r="K75" i="2"/>
  <c r="C75" i="2"/>
  <c r="C74" i="2"/>
  <c r="C58" i="2"/>
  <c r="C57" i="2"/>
  <c r="C56" i="2"/>
  <c r="C55" i="2"/>
  <c r="C54" i="2"/>
  <c r="C59" i="2" s="1"/>
  <c r="D48" i="2"/>
  <c r="P44" i="2"/>
  <c r="K44" i="2"/>
  <c r="K45" i="2" s="1"/>
  <c r="P43" i="2"/>
  <c r="M43" i="2"/>
  <c r="L43" i="2"/>
  <c r="K43" i="2"/>
  <c r="C28" i="2"/>
  <c r="C43" i="2" s="1"/>
  <c r="P27" i="2"/>
  <c r="K27" i="2"/>
  <c r="C27" i="2"/>
  <c r="C26" i="2"/>
  <c r="C25" i="2"/>
  <c r="C44" i="2" s="1"/>
  <c r="C45" i="2" s="1"/>
  <c r="C92" i="1"/>
  <c r="D92" i="1" s="1"/>
  <c r="C78" i="1"/>
  <c r="C77" i="1"/>
  <c r="C64" i="1" s="1"/>
  <c r="C74" i="1"/>
  <c r="P73" i="1"/>
  <c r="K73" i="1"/>
  <c r="C72" i="1"/>
  <c r="C71" i="1"/>
  <c r="C56" i="1"/>
  <c r="C55" i="1"/>
  <c r="C54" i="1"/>
  <c r="C57" i="1" s="1"/>
  <c r="C53" i="1"/>
  <c r="C52" i="1"/>
  <c r="E46" i="1"/>
  <c r="D46" i="1"/>
  <c r="C46" i="1" s="1"/>
  <c r="P42" i="1"/>
  <c r="R42" i="1" s="1"/>
  <c r="M42" i="1"/>
  <c r="K42" i="1"/>
  <c r="R41" i="1"/>
  <c r="P41" i="1"/>
  <c r="K41" i="1"/>
  <c r="F36" i="1"/>
  <c r="F35" i="1"/>
  <c r="G35" i="1" s="1"/>
  <c r="H35" i="1" s="1"/>
  <c r="C26" i="1"/>
  <c r="C41" i="1" s="1"/>
  <c r="P25" i="1"/>
  <c r="K25" i="1"/>
  <c r="C25" i="1"/>
  <c r="C24" i="1"/>
  <c r="C42" i="1"/>
  <c r="N30" i="4" l="1"/>
  <c r="E29" i="4"/>
  <c r="E19" i="4"/>
  <c r="O29" i="4"/>
  <c r="D29" i="4" s="1"/>
  <c r="P30" i="4"/>
  <c r="C30" i="4"/>
  <c r="J29" i="4"/>
  <c r="C43" i="5"/>
  <c r="M42" i="5"/>
  <c r="G31" i="5" s="1"/>
  <c r="K43" i="5"/>
  <c r="R42" i="5"/>
  <c r="P43" i="5"/>
  <c r="P43" i="3"/>
  <c r="P43" i="1"/>
  <c r="L42" i="1"/>
  <c r="C31" i="1" s="1"/>
  <c r="M44" i="2"/>
  <c r="L44" i="2" s="1"/>
  <c r="L45" i="2" s="1"/>
  <c r="R43" i="1"/>
  <c r="C43" i="1"/>
  <c r="D41" i="3"/>
  <c r="Q42" i="1"/>
  <c r="E42" i="1"/>
  <c r="E42" i="3"/>
  <c r="G31" i="3"/>
  <c r="R43" i="3"/>
  <c r="R44" i="2"/>
  <c r="Q44" i="2" s="1"/>
  <c r="P45" i="2"/>
  <c r="R43" i="2"/>
  <c r="G31" i="1"/>
  <c r="D83" i="1"/>
  <c r="C83" i="1"/>
  <c r="G35" i="3"/>
  <c r="L42" i="3"/>
  <c r="L43" i="3" s="1"/>
  <c r="M43" i="3"/>
  <c r="I30" i="4"/>
  <c r="K28" i="4"/>
  <c r="J28" i="4"/>
  <c r="K43" i="1"/>
  <c r="E48" i="2"/>
  <c r="C48" i="2" s="1"/>
  <c r="C57" i="3"/>
  <c r="Q41" i="1"/>
  <c r="H35" i="3"/>
  <c r="E41" i="3"/>
  <c r="E43" i="2"/>
  <c r="Q42" i="3"/>
  <c r="C73" i="3"/>
  <c r="G35" i="5"/>
  <c r="M41" i="1"/>
  <c r="C73" i="1"/>
  <c r="F37" i="2"/>
  <c r="C73" i="2"/>
  <c r="Q41" i="3"/>
  <c r="H35" i="5"/>
  <c r="C57" i="5"/>
  <c r="C83" i="3"/>
  <c r="M41" i="5"/>
  <c r="D83" i="3"/>
  <c r="C83" i="5"/>
  <c r="D83" i="5"/>
  <c r="C19" i="4" l="1"/>
  <c r="O30" i="4"/>
  <c r="E42" i="5"/>
  <c r="L42" i="5"/>
  <c r="R43" i="5"/>
  <c r="Q42" i="5"/>
  <c r="Q43" i="5" s="1"/>
  <c r="Q44" i="5" s="1"/>
  <c r="D42" i="1"/>
  <c r="M45" i="2"/>
  <c r="E44" i="2"/>
  <c r="E45" i="2" s="1"/>
  <c r="R45" i="2"/>
  <c r="C33" i="2"/>
  <c r="D44" i="2"/>
  <c r="H37" i="2"/>
  <c r="G37" i="2"/>
  <c r="F38" i="2"/>
  <c r="L44" i="3"/>
  <c r="L45" i="3"/>
  <c r="C31" i="3"/>
  <c r="D42" i="3"/>
  <c r="D43" i="3"/>
  <c r="C63" i="3" s="1"/>
  <c r="C65" i="3" s="1"/>
  <c r="E41" i="1"/>
  <c r="E43" i="1" s="1"/>
  <c r="M43" i="1"/>
  <c r="G33" i="2"/>
  <c r="E43" i="3"/>
  <c r="Q43" i="2"/>
  <c r="E41" i="5"/>
  <c r="M43" i="5"/>
  <c r="H31" i="1"/>
  <c r="J30" i="4"/>
  <c r="D28" i="4"/>
  <c r="D30" i="4" s="1"/>
  <c r="D31" i="4" s="1"/>
  <c r="L41" i="1"/>
  <c r="L46" i="2"/>
  <c r="L47" i="2" s="1"/>
  <c r="L41" i="5"/>
  <c r="Q43" i="3"/>
  <c r="Q43" i="1"/>
  <c r="E28" i="4"/>
  <c r="E30" i="4" s="1"/>
  <c r="E31" i="4" s="1"/>
  <c r="K30" i="4"/>
  <c r="E20" i="4" s="1"/>
  <c r="E23" i="4" s="1"/>
  <c r="F19" i="4" l="1"/>
  <c r="C23" i="4"/>
  <c r="D20" i="4"/>
  <c r="E43" i="5"/>
  <c r="C31" i="5"/>
  <c r="H31" i="5" s="1"/>
  <c r="D42" i="5"/>
  <c r="Q45" i="5"/>
  <c r="Q44" i="1"/>
  <c r="Q44" i="3"/>
  <c r="D41" i="1"/>
  <c r="D43" i="1" s="1"/>
  <c r="C63" i="1" s="1"/>
  <c r="C65" i="1" s="1"/>
  <c r="L43" i="1"/>
  <c r="B66" i="3"/>
  <c r="C68" i="3"/>
  <c r="E34" i="3" s="1"/>
  <c r="C34" i="3" s="1"/>
  <c r="C66" i="3"/>
  <c r="D23" i="4"/>
  <c r="F20" i="4"/>
  <c r="F23" i="4" s="1"/>
  <c r="D44" i="3"/>
  <c r="E33" i="3" s="1"/>
  <c r="M44" i="3"/>
  <c r="K44" i="3" s="1"/>
  <c r="R44" i="5"/>
  <c r="R45" i="5" s="1"/>
  <c r="P44" i="5"/>
  <c r="P45" i="5" s="1"/>
  <c r="L43" i="5"/>
  <c r="D41" i="5"/>
  <c r="Q45" i="2"/>
  <c r="D43" i="2"/>
  <c r="D45" i="2" s="1"/>
  <c r="C65" i="2" s="1"/>
  <c r="M46" i="2"/>
  <c r="K46" i="2" s="1"/>
  <c r="H31" i="3"/>
  <c r="H33" i="2"/>
  <c r="D43" i="5" l="1"/>
  <c r="C63" i="5" s="1"/>
  <c r="C65" i="5" s="1"/>
  <c r="B66" i="5" s="1"/>
  <c r="K45" i="3"/>
  <c r="L44" i="5"/>
  <c r="L44" i="1"/>
  <c r="B66" i="1"/>
  <c r="C68" i="1"/>
  <c r="E34" i="1" s="1"/>
  <c r="C34" i="1" s="1"/>
  <c r="C66" i="1"/>
  <c r="K47" i="2"/>
  <c r="R44" i="3"/>
  <c r="R45" i="3" s="1"/>
  <c r="M47" i="2"/>
  <c r="Q45" i="3"/>
  <c r="D45" i="3" s="1"/>
  <c r="D47" i="3" s="1"/>
  <c r="D48" i="3" s="1"/>
  <c r="D52" i="3" s="1"/>
  <c r="M45" i="3"/>
  <c r="R44" i="1"/>
  <c r="R45" i="1" s="1"/>
  <c r="Q46" i="2"/>
  <c r="E36" i="3"/>
  <c r="C67" i="3"/>
  <c r="Q45" i="1"/>
  <c r="C66" i="5" l="1"/>
  <c r="P44" i="1"/>
  <c r="P45" i="1" s="1"/>
  <c r="E45" i="3"/>
  <c r="E47" i="3" s="1"/>
  <c r="E48" i="3" s="1"/>
  <c r="G32" i="3" s="1"/>
  <c r="E44" i="3"/>
  <c r="G33" i="3" s="1"/>
  <c r="H33" i="3" s="1"/>
  <c r="D44" i="5"/>
  <c r="E33" i="5" s="1"/>
  <c r="M44" i="5"/>
  <c r="E52" i="3"/>
  <c r="L45" i="5"/>
  <c r="D45" i="5" s="1"/>
  <c r="D47" i="5" s="1"/>
  <c r="D48" i="5" s="1"/>
  <c r="D52" i="5" s="1"/>
  <c r="R46" i="2"/>
  <c r="D46" i="2"/>
  <c r="E35" i="2" s="1"/>
  <c r="Q47" i="2"/>
  <c r="D47" i="2" s="1"/>
  <c r="D49" i="2" s="1"/>
  <c r="D50" i="2" s="1"/>
  <c r="D54" i="2" s="1"/>
  <c r="D44" i="1"/>
  <c r="E33" i="1" s="1"/>
  <c r="M44" i="1"/>
  <c r="K44" i="1" s="1"/>
  <c r="P44" i="3"/>
  <c r="L45" i="1"/>
  <c r="D45" i="1" s="1"/>
  <c r="D47" i="1" s="1"/>
  <c r="D48" i="1" s="1"/>
  <c r="D52" i="1" s="1"/>
  <c r="C68" i="5" l="1"/>
  <c r="E34" i="5" s="1"/>
  <c r="C34" i="5" s="1"/>
  <c r="F52" i="3"/>
  <c r="E54" i="2"/>
  <c r="C69" i="2"/>
  <c r="E44" i="5"/>
  <c r="G33" i="5" s="1"/>
  <c r="H33" i="5" s="1"/>
  <c r="M45" i="5"/>
  <c r="E45" i="5" s="1"/>
  <c r="E47" i="5" s="1"/>
  <c r="E48" i="5" s="1"/>
  <c r="G32" i="5" s="1"/>
  <c r="G36" i="5" s="1"/>
  <c r="E52" i="1"/>
  <c r="R47" i="2"/>
  <c r="E47" i="2" s="1"/>
  <c r="E49" i="2" s="1"/>
  <c r="E50" i="2" s="1"/>
  <c r="G34" i="2" s="1"/>
  <c r="E46" i="2"/>
  <c r="G35" i="2" s="1"/>
  <c r="H35" i="2" s="1"/>
  <c r="C67" i="5"/>
  <c r="P45" i="3"/>
  <c r="C45" i="3" s="1"/>
  <c r="C47" i="3" s="1"/>
  <c r="C44" i="3"/>
  <c r="P46" i="2"/>
  <c r="K44" i="5"/>
  <c r="C44" i="1"/>
  <c r="K45" i="1"/>
  <c r="C45" i="1" s="1"/>
  <c r="C47" i="1" s="1"/>
  <c r="E36" i="1"/>
  <c r="C67" i="1"/>
  <c r="G36" i="3"/>
  <c r="E44" i="1"/>
  <c r="G33" i="1" s="1"/>
  <c r="H33" i="1" s="1"/>
  <c r="M45" i="1"/>
  <c r="E45" i="1" s="1"/>
  <c r="E47" i="1" s="1"/>
  <c r="E48" i="1" s="1"/>
  <c r="G32" i="1" s="1"/>
  <c r="G36" i="1" s="1"/>
  <c r="E52" i="5"/>
  <c r="E36" i="5" l="1"/>
  <c r="C44" i="5"/>
  <c r="K45" i="5"/>
  <c r="C45" i="5" s="1"/>
  <c r="C47" i="5" s="1"/>
  <c r="G38" i="2"/>
  <c r="P47" i="2"/>
  <c r="C47" i="2" s="1"/>
  <c r="C49" i="2" s="1"/>
  <c r="C46" i="2"/>
  <c r="F54" i="2"/>
  <c r="F52" i="1"/>
  <c r="F52" i="5"/>
  <c r="G52" i="5" s="1"/>
  <c r="H52" i="3"/>
  <c r="D53" i="3" s="1"/>
  <c r="G52" i="3"/>
  <c r="E53" i="3" l="1"/>
  <c r="H52" i="5"/>
  <c r="D53" i="5" s="1"/>
  <c r="G54" i="2"/>
  <c r="G52" i="1"/>
  <c r="E53" i="5" l="1"/>
  <c r="F53" i="3"/>
  <c r="H54" i="2"/>
  <c r="D55" i="2" s="1"/>
  <c r="H52" i="1"/>
  <c r="D53" i="1" s="1"/>
  <c r="E55" i="2" l="1"/>
  <c r="F53" i="5"/>
  <c r="G53" i="5" s="1"/>
  <c r="G53" i="3"/>
  <c r="E53" i="1"/>
  <c r="H53" i="5" l="1"/>
  <c r="D54" i="5" s="1"/>
  <c r="F55" i="2"/>
  <c r="G55" i="2" s="1"/>
  <c r="F53" i="1"/>
  <c r="H53" i="3"/>
  <c r="D54" i="3" s="1"/>
  <c r="E54" i="5" l="1"/>
  <c r="H55" i="2"/>
  <c r="D56" i="2" s="1"/>
  <c r="E54" i="3"/>
  <c r="G53" i="1"/>
  <c r="H53" i="1" s="1"/>
  <c r="D54" i="1" s="1"/>
  <c r="E54" i="1" l="1"/>
  <c r="F54" i="3"/>
  <c r="G54" i="3"/>
  <c r="E56" i="2"/>
  <c r="F54" i="5"/>
  <c r="G54" i="5" s="1"/>
  <c r="F54" i="1" l="1"/>
  <c r="G54" i="1" s="1"/>
  <c r="F56" i="2"/>
  <c r="H54" i="3"/>
  <c r="D55" i="3" s="1"/>
  <c r="H54" i="5"/>
  <c r="D55" i="5" s="1"/>
  <c r="E55" i="5" l="1"/>
  <c r="E55" i="3"/>
  <c r="G56" i="2"/>
  <c r="H54" i="1"/>
  <c r="D55" i="1" s="1"/>
  <c r="F55" i="5" l="1"/>
  <c r="G55" i="5" s="1"/>
  <c r="E55" i="1"/>
  <c r="F55" i="3"/>
  <c r="H56" i="2"/>
  <c r="D57" i="2" s="1"/>
  <c r="F55" i="1" l="1"/>
  <c r="E57" i="2"/>
  <c r="G55" i="3"/>
  <c r="H55" i="3" s="1"/>
  <c r="D56" i="3" s="1"/>
  <c r="H55" i="5"/>
  <c r="D56" i="5" s="1"/>
  <c r="E56" i="3" l="1"/>
  <c r="F57" i="2"/>
  <c r="G57" i="2" s="1"/>
  <c r="G55" i="1"/>
  <c r="H55" i="1" s="1"/>
  <c r="D56" i="1" s="1"/>
  <c r="E56" i="5"/>
  <c r="E56" i="1" l="1"/>
  <c r="F56" i="5"/>
  <c r="G56" i="5" s="1"/>
  <c r="G57" i="5" s="1"/>
  <c r="E57" i="5"/>
  <c r="H57" i="2"/>
  <c r="D58" i="2" s="1"/>
  <c r="F56" i="3"/>
  <c r="G56" i="3" s="1"/>
  <c r="G57" i="3" s="1"/>
  <c r="E57" i="3"/>
  <c r="D82" i="5" l="1"/>
  <c r="D84" i="5" s="1"/>
  <c r="D85" i="5" s="1"/>
  <c r="E58" i="2"/>
  <c r="F56" i="1"/>
  <c r="G56" i="1" s="1"/>
  <c r="G57" i="1" s="1"/>
  <c r="E57" i="1"/>
  <c r="D82" i="3"/>
  <c r="D84" i="3" s="1"/>
  <c r="D85" i="3" s="1"/>
  <c r="C91" i="5"/>
  <c r="D91" i="5" s="1"/>
  <c r="F57" i="5"/>
  <c r="C82" i="5" s="1"/>
  <c r="C84" i="5" s="1"/>
  <c r="C85" i="5" s="1"/>
  <c r="C86" i="5" s="1"/>
  <c r="H56" i="5"/>
  <c r="D57" i="5" s="1"/>
  <c r="C91" i="3"/>
  <c r="D91" i="3" s="1"/>
  <c r="F57" i="3"/>
  <c r="C82" i="3" s="1"/>
  <c r="C84" i="3" s="1"/>
  <c r="C85" i="3" s="1"/>
  <c r="C86" i="3" s="1"/>
  <c r="H56" i="3"/>
  <c r="D57" i="3" s="1"/>
  <c r="F58" i="5" l="1"/>
  <c r="H57" i="5"/>
  <c r="C89" i="5"/>
  <c r="C32" i="5" s="1"/>
  <c r="C88" i="5"/>
  <c r="D32" i="5" s="1"/>
  <c r="D36" i="5" s="1"/>
  <c r="F58" i="2"/>
  <c r="G58" i="2" s="1"/>
  <c r="G59" i="2" s="1"/>
  <c r="E59" i="2"/>
  <c r="C89" i="3"/>
  <c r="C32" i="3" s="1"/>
  <c r="C88" i="3"/>
  <c r="D32" i="3" s="1"/>
  <c r="D36" i="3" s="1"/>
  <c r="D82" i="1"/>
  <c r="D84" i="1" s="1"/>
  <c r="D85" i="1" s="1"/>
  <c r="C91" i="1"/>
  <c r="D91" i="1" s="1"/>
  <c r="F57" i="1"/>
  <c r="C82" i="1" s="1"/>
  <c r="C84" i="1" s="1"/>
  <c r="C85" i="1" s="1"/>
  <c r="H56" i="1"/>
  <c r="D57" i="1" s="1"/>
  <c r="F58" i="3"/>
  <c r="G58" i="3"/>
  <c r="H57" i="3"/>
  <c r="G58" i="5"/>
  <c r="F58" i="1" l="1"/>
  <c r="H57" i="1"/>
  <c r="G58" i="1"/>
  <c r="D84" i="2"/>
  <c r="D86" i="2" s="1"/>
  <c r="D87" i="2" s="1"/>
  <c r="H32" i="3"/>
  <c r="H36" i="3" s="1"/>
  <c r="C36" i="3"/>
  <c r="C86" i="1"/>
  <c r="F59" i="2"/>
  <c r="H58" i="2"/>
  <c r="D59" i="2" s="1"/>
  <c r="H32" i="5"/>
  <c r="H36" i="5" s="1"/>
  <c r="C36" i="5"/>
  <c r="H59" i="2" l="1"/>
  <c r="C97" i="2"/>
  <c r="D97" i="2" s="1"/>
  <c r="C84" i="2"/>
  <c r="C86" i="2" s="1"/>
  <c r="C89" i="1"/>
  <c r="C32" i="1" s="1"/>
  <c r="C88" i="1"/>
  <c r="D32" i="1" s="1"/>
  <c r="D36" i="1" s="1"/>
  <c r="G60" i="2"/>
  <c r="F60" i="2"/>
  <c r="H32" i="1" l="1"/>
  <c r="H36" i="1" s="1"/>
  <c r="C36" i="1"/>
  <c r="C90" i="2"/>
  <c r="C91" i="2" s="1"/>
  <c r="C93" i="2" s="1"/>
  <c r="C87" i="2"/>
  <c r="C88" i="2" s="1"/>
  <c r="C94" i="2" l="1"/>
  <c r="C95" i="2"/>
  <c r="C34" i="2" s="1"/>
  <c r="D34" i="2" l="1"/>
  <c r="D38" i="2" s="1"/>
  <c r="C66" i="2"/>
  <c r="C67" i="2" s="1"/>
  <c r="C70" i="2" l="1"/>
  <c r="E36" i="2" s="1"/>
  <c r="B68" i="2"/>
  <c r="C68" i="2"/>
  <c r="H34" i="2"/>
  <c r="H38" i="2" s="1"/>
  <c r="C36" i="2" l="1"/>
  <c r="C38" i="2" s="1"/>
  <c r="E38" i="2"/>
</calcChain>
</file>

<file path=xl/sharedStrings.xml><?xml version="1.0" encoding="utf-8"?>
<sst xmlns="http://schemas.openxmlformats.org/spreadsheetml/2006/main" count="639" uniqueCount="126">
  <si>
    <t>Inhoud financiële afspraak</t>
  </si>
  <si>
    <t>Variabele</t>
  </si>
  <si>
    <t>Waarde</t>
  </si>
  <si>
    <t>Toelichting</t>
  </si>
  <si>
    <t>Theatertoeslag</t>
  </si>
  <si>
    <t>in recette, incl btw</t>
  </si>
  <si>
    <t>Auteursrechten (AR)</t>
  </si>
  <si>
    <t>excl btw</t>
  </si>
  <si>
    <t>AR Percentageberekening</t>
  </si>
  <si>
    <t>n</t>
  </si>
  <si>
    <t>j =10/110 en n= 10/100</t>
  </si>
  <si>
    <t>Garantie aan bespeler</t>
  </si>
  <si>
    <t>Garantie aan podium</t>
  </si>
  <si>
    <t>BTW Percentage buiten tickets</t>
  </si>
  <si>
    <t>Partage bespeler 1ste tranche</t>
  </si>
  <si>
    <t>enkel in staffel</t>
  </si>
  <si>
    <t>Partage bespeler 2de tranche</t>
  </si>
  <si>
    <t>Partage bespeler 3de tranche</t>
  </si>
  <si>
    <t>Partage bespeler 4de tranche</t>
  </si>
  <si>
    <t>Partage bespeler</t>
  </si>
  <si>
    <t>Gezamenlijke pot excl btw</t>
  </si>
  <si>
    <t>enkel in staffel.</t>
  </si>
  <si>
    <t>Verkoopcijfers</t>
  </si>
  <si>
    <t>Verkoopcijfers jaar 1 of voorstelling</t>
  </si>
  <si>
    <t>Verkoop cijfers jaar 2 of voorstelling</t>
  </si>
  <si>
    <t>Aantal verkocht, excl. vrijkaarten</t>
  </si>
  <si>
    <t>K23 plus P23</t>
  </si>
  <si>
    <t>Vrijkaarten</t>
  </si>
  <si>
    <t>K24 plus P24</t>
  </si>
  <si>
    <t>Totaal</t>
  </si>
  <si>
    <t>C23 plus C24</t>
  </si>
  <si>
    <t>Totale recette incl btw</t>
  </si>
  <si>
    <t>K26 plus P26</t>
  </si>
  <si>
    <t>Totale recette incl btw, AR en theatertoeslag</t>
  </si>
  <si>
    <t>BTW</t>
  </si>
  <si>
    <t xml:space="preserve">Aandeel in het resultaat </t>
  </si>
  <si>
    <t>Podium</t>
  </si>
  <si>
    <t>Bespeler</t>
  </si>
  <si>
    <t>Auteursrecht</t>
  </si>
  <si>
    <t>Gezamenlijke pot</t>
  </si>
  <si>
    <t>Verdeling recette</t>
  </si>
  <si>
    <t>Correctie auteursrechten</t>
  </si>
  <si>
    <t>Totalen</t>
  </si>
  <si>
    <t>Basisberekeningen en verdeling</t>
  </si>
  <si>
    <t>Basisberekeningen en verdeling jaar 1</t>
  </si>
  <si>
    <t>Basisberekeningen en verdeling jaar 2</t>
  </si>
  <si>
    <t>INC BTW</t>
  </si>
  <si>
    <t>EX BTW</t>
  </si>
  <si>
    <t>Incl BTW</t>
  </si>
  <si>
    <t>Excl BTW</t>
  </si>
  <si>
    <t>Recette</t>
  </si>
  <si>
    <t>Recette ná theatertoeslag</t>
  </si>
  <si>
    <t>Recette ná theatertoeslag én AR</t>
  </si>
  <si>
    <t>Recette ná theatertoeslag én AR én gezamenlijke pot</t>
  </si>
  <si>
    <t>Trancheberekeningen</t>
  </si>
  <si>
    <t>Per tranche</t>
  </si>
  <si>
    <t>Beschikbaar</t>
  </si>
  <si>
    <t>Grondslag</t>
  </si>
  <si>
    <t>Aanbieder</t>
  </si>
  <si>
    <t>Afnemer</t>
  </si>
  <si>
    <t>Restant</t>
  </si>
  <si>
    <t>1ste Tranche</t>
  </si>
  <si>
    <t>2de Tranche</t>
  </si>
  <si>
    <t>3de Tranche</t>
  </si>
  <si>
    <t>4de Tranche</t>
  </si>
  <si>
    <t>Rekenvelden</t>
  </si>
  <si>
    <t>Controle voldoende AR gereserveerd?</t>
  </si>
  <si>
    <t>Recette minus theatertoeslag en minus BTW</t>
  </si>
  <si>
    <t>Garantie</t>
  </si>
  <si>
    <t>Garantie &gt; recette vóór AR</t>
  </si>
  <si>
    <t>Garantie &gt; basis voor AR</t>
  </si>
  <si>
    <t>Nieuw berekende AR</t>
  </si>
  <si>
    <t>Eerder berekende AR</t>
  </si>
  <si>
    <t>Correctie AR</t>
  </si>
  <si>
    <t>Berekeningen t.b.v. verdeling</t>
  </si>
  <si>
    <t>AR effectief %</t>
  </si>
  <si>
    <t>Berekende BTW in recette</t>
  </si>
  <si>
    <t>AR bruto/netto</t>
  </si>
  <si>
    <t>Correctie als zowel aanbieder als afnemer een garantie hebben opgegeven</t>
  </si>
  <si>
    <t>Het verschil tussen de garanties is</t>
  </si>
  <si>
    <t>ten gunste van</t>
  </si>
  <si>
    <t>Is garantie van toepassing?</t>
  </si>
  <si>
    <t>Verdeling</t>
  </si>
  <si>
    <t>De garantie is</t>
  </si>
  <si>
    <t>Verschil</t>
  </si>
  <si>
    <t>Is er garantie van toepassing?</t>
  </si>
  <si>
    <t>hier staat WAAR als beide geen garantie krijgen</t>
  </si>
  <si>
    <r>
      <rPr>
        <sz val="12"/>
        <color theme="1"/>
        <rFont val="Calibri"/>
      </rPr>
      <t xml:space="preserve">bedrag dat afnemer krijgt </t>
    </r>
    <r>
      <rPr>
        <sz val="8"/>
        <color theme="1"/>
        <rFont val="Calibri"/>
      </rPr>
      <t>(van recette na theateraftrek)</t>
    </r>
  </si>
  <si>
    <r>
      <rPr>
        <sz val="12"/>
        <color theme="1"/>
        <rFont val="Calibri"/>
      </rPr>
      <t xml:space="preserve">bedrag dat aanbieder krijgt </t>
    </r>
    <r>
      <rPr>
        <sz val="8"/>
        <color theme="1"/>
        <rFont val="Calibri"/>
      </rPr>
      <t>(van recette na theateraftrek)</t>
    </r>
  </si>
  <si>
    <t>(hieronder een paar rekenvelden)</t>
  </si>
  <si>
    <t>Ber.Grndslg-/-Gar.</t>
  </si>
  <si>
    <t>j</t>
  </si>
  <si>
    <t>excl btw (niet van toepassing)</t>
  </si>
  <si>
    <t>Aanvulling tot (excl. BTW)</t>
  </si>
  <si>
    <t>Maximale aanvulling (excl. BTW)</t>
  </si>
  <si>
    <t>Verkoopcijfers jaar 1</t>
  </si>
  <si>
    <t>Verkoop cijfers jaar 2</t>
  </si>
  <si>
    <t>Aantal excl vrijkaarten</t>
  </si>
  <si>
    <t>Suppletiebedrag (aanvullen tot) is</t>
  </si>
  <si>
    <t>verschil gewenste suppletie en maximum</t>
  </si>
  <si>
    <t>Controle: gewenste suppletie niet hoger dan maximum?</t>
  </si>
  <si>
    <t>Uit te keren suppletie</t>
  </si>
  <si>
    <r>
      <rPr>
        <sz val="12"/>
        <color theme="1"/>
        <rFont val="Calibri"/>
      </rPr>
      <t xml:space="preserve">bedrag dat afnemer krijgt </t>
    </r>
    <r>
      <rPr>
        <sz val="8"/>
        <color theme="1"/>
        <rFont val="Calibri"/>
      </rPr>
      <t>(van recette na theateraftrek)</t>
    </r>
  </si>
  <si>
    <r>
      <rPr>
        <sz val="12"/>
        <color theme="1"/>
        <rFont val="Calibri"/>
      </rPr>
      <t xml:space="preserve">bedrag dat aanbieder krijgt </t>
    </r>
    <r>
      <rPr>
        <sz val="8"/>
        <color theme="1"/>
        <rFont val="Calibri"/>
      </rPr>
      <t>(van recette na theateraftrek)</t>
    </r>
  </si>
  <si>
    <t>Waarde 2</t>
  </si>
  <si>
    <t>Recette minus theateraftrek en minus BTW</t>
  </si>
  <si>
    <t>Theateraftrek</t>
  </si>
  <si>
    <r>
      <rPr>
        <sz val="12"/>
        <color theme="1"/>
        <rFont val="Calibri"/>
      </rPr>
      <t xml:space="preserve">bedrag dat afnemer krijgt </t>
    </r>
    <r>
      <rPr>
        <sz val="8"/>
        <color theme="1"/>
        <rFont val="Calibri"/>
      </rPr>
      <t>(van recette na theateraftrek)</t>
    </r>
  </si>
  <si>
    <r>
      <rPr>
        <sz val="12"/>
        <color theme="1"/>
        <rFont val="Calibri"/>
      </rPr>
      <t xml:space="preserve">bedrag dat aanbieder krijgt </t>
    </r>
    <r>
      <rPr>
        <sz val="8"/>
        <color theme="1"/>
        <rFont val="Calibri"/>
      </rPr>
      <t>(van recette na theateraftrek)</t>
    </r>
  </si>
  <si>
    <t>Huur (bedrag dat podium ontvangt)</t>
  </si>
  <si>
    <t>Overige kosten</t>
  </si>
  <si>
    <t xml:space="preserve">Verkoopcijfers jaar 1 </t>
  </si>
  <si>
    <t xml:space="preserve">Verkoop cijfers jaar 2 </t>
  </si>
  <si>
    <t>I11 plus N11</t>
  </si>
  <si>
    <t>I12 plus N12</t>
  </si>
  <si>
    <t>C11 plus C12</t>
  </si>
  <si>
    <t>I14 plus N14</t>
  </si>
  <si>
    <t>Huur</t>
  </si>
  <si>
    <t>indien ingevoerd altijd null in berekening.</t>
  </si>
  <si>
    <t>j =7/107 en n= 7/100</t>
  </si>
  <si>
    <t>Uitkoopsom</t>
  </si>
  <si>
    <t>Recette ná theateraftrek</t>
  </si>
  <si>
    <t>Recette ná theateraftrek én AR</t>
  </si>
  <si>
    <t>Recette ná theateraftrek én AR én gezamenlijke pot</t>
  </si>
  <si>
    <r>
      <rPr>
        <sz val="12"/>
        <color theme="1"/>
        <rFont val="Calibri"/>
      </rPr>
      <t xml:space="preserve">bedrag dat afnemer krijgt </t>
    </r>
    <r>
      <rPr>
        <sz val="8"/>
        <color theme="1"/>
        <rFont val="Calibri"/>
      </rPr>
      <t>(van recette na theateraftrek)</t>
    </r>
  </si>
  <si>
    <r>
      <rPr>
        <sz val="12"/>
        <color theme="1"/>
        <rFont val="Calibri"/>
      </rPr>
      <t xml:space="preserve">bedrag dat aanbieder krijgt </t>
    </r>
    <r>
      <rPr>
        <sz val="8"/>
        <color theme="1"/>
        <rFont val="Calibri"/>
      </rPr>
      <t>(van recette na theateraftrek)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</si>
</sst>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0.000%"/>
  </numFmts>
  <fonts count="19" x14ac:knownFonts="1">
    <font>
      <sz val="12"/>
      <color theme="1"/>
      <name val="Calibri"/>
      <scheme val="minor"/>
    </font>
    <font>
      <sz val="12"/>
      <color theme="1"/>
      <name val="Calibri"/>
    </font>
    <font>
      <b/>
      <sz val="20"/>
      <color theme="1"/>
      <name val="Calibri"/>
    </font>
    <font>
      <b/>
      <sz val="12"/>
      <color theme="1"/>
      <name val="Calibri"/>
    </font>
    <font>
      <b/>
      <sz val="12"/>
      <color rgb="FFBFBFBF"/>
      <name val="Calibri"/>
    </font>
    <font>
      <sz val="12"/>
      <color rgb="FF021E73"/>
      <name val="Calibri"/>
    </font>
    <font>
      <sz val="12"/>
      <color rgb="FFBFBFBF"/>
      <name val="Calibri"/>
    </font>
    <font>
      <sz val="12"/>
      <color rgb="FF3F3F76"/>
      <name val="Calibri"/>
    </font>
    <font>
      <sz val="12"/>
      <color rgb="FFFF0000"/>
      <name val="Calibri"/>
    </font>
    <font>
      <b/>
      <sz val="12"/>
      <color rgb="FFFF0000"/>
      <name val="Calibri"/>
    </font>
    <font>
      <b/>
      <sz val="12"/>
      <color rgb="FFA31D3D"/>
      <name val="Calibri"/>
    </font>
    <font>
      <b/>
      <sz val="20"/>
      <color rgb="FF021E73"/>
      <name val="Calibri"/>
    </font>
    <font>
      <b/>
      <sz val="12"/>
      <color rgb="FF000000"/>
      <name val="Calibri"/>
    </font>
    <font>
      <b/>
      <sz val="12"/>
      <color rgb="FFD8D8D8"/>
      <name val="Calibri"/>
    </font>
    <font>
      <b/>
      <sz val="12"/>
      <color rgb="FF021E73"/>
      <name val="Calibri"/>
    </font>
    <font>
      <b/>
      <sz val="20"/>
      <color rgb="FFBFBFBF"/>
      <name val="Calibri"/>
    </font>
    <font>
      <sz val="12"/>
      <color rgb="FFA5A5A5"/>
      <name val="Calibri"/>
    </font>
    <font>
      <sz val="12"/>
      <color rgb="FF9C0006"/>
      <name val="Calibri"/>
    </font>
    <font>
      <sz val="8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0ABFB8"/>
        <bgColor rgb="FF0ABFB8"/>
      </patternFill>
    </fill>
    <fill>
      <patternFill patternType="solid">
        <fgColor rgb="FFFF8F2E"/>
        <bgColor rgb="FFFF8F2E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/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6" fillId="0" borderId="8" xfId="0" applyFont="1" applyBorder="1"/>
    <xf numFmtId="0" fontId="8" fillId="0" borderId="10" xfId="0" applyFont="1" applyBorder="1"/>
    <xf numFmtId="164" fontId="6" fillId="0" borderId="9" xfId="0" applyNumberFormat="1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9" fontId="2" fillId="0" borderId="0" xfId="0" applyNumberFormat="1" applyFont="1"/>
    <xf numFmtId="0" fontId="3" fillId="0" borderId="0" xfId="0" applyFont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1" xfId="0" applyFont="1" applyBorder="1"/>
    <xf numFmtId="164" fontId="1" fillId="0" borderId="12" xfId="0" applyNumberFormat="1" applyFont="1" applyBorder="1"/>
    <xf numFmtId="0" fontId="1" fillId="0" borderId="13" xfId="0" applyFont="1" applyBorder="1"/>
    <xf numFmtId="0" fontId="11" fillId="4" borderId="21" xfId="0" applyFont="1" applyFill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2" borderId="22" xfId="0" applyFont="1" applyFill="1" applyBorder="1"/>
    <xf numFmtId="0" fontId="3" fillId="2" borderId="23" xfId="0" applyFont="1" applyFill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1" fillId="0" borderId="24" xfId="0" applyFont="1" applyBorder="1"/>
    <xf numFmtId="164" fontId="1" fillId="0" borderId="25" xfId="0" applyNumberFormat="1" applyFont="1" applyBorder="1"/>
    <xf numFmtId="164" fontId="1" fillId="0" borderId="26" xfId="0" applyNumberFormat="1" applyFont="1" applyBorder="1"/>
    <xf numFmtId="0" fontId="14" fillId="4" borderId="27" xfId="0" applyFont="1" applyFill="1" applyBorder="1"/>
    <xf numFmtId="0" fontId="1" fillId="2" borderId="30" xfId="0" applyFont="1" applyFill="1" applyBorder="1"/>
    <xf numFmtId="164" fontId="6" fillId="0" borderId="10" xfId="0" applyNumberFormat="1" applyFont="1" applyBorder="1"/>
    <xf numFmtId="44" fontId="1" fillId="0" borderId="0" xfId="0" applyNumberFormat="1" applyFont="1"/>
    <xf numFmtId="164" fontId="3" fillId="0" borderId="0" xfId="0" applyNumberFormat="1" applyFont="1"/>
    <xf numFmtId="0" fontId="1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14" xfId="0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164" fontId="1" fillId="0" borderId="0" xfId="0" applyNumberFormat="1" applyFont="1"/>
    <xf numFmtId="0" fontId="6" fillId="0" borderId="9" xfId="0" applyFont="1" applyBorder="1"/>
    <xf numFmtId="164" fontId="4" fillId="0" borderId="9" xfId="0" applyNumberFormat="1" applyFont="1" applyBorder="1"/>
    <xf numFmtId="0" fontId="1" fillId="0" borderId="31" xfId="0" applyFont="1" applyBorder="1"/>
    <xf numFmtId="44" fontId="1" fillId="0" borderId="15" xfId="0" applyNumberFormat="1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6" fillId="0" borderId="0" xfId="0" applyFont="1"/>
    <xf numFmtId="0" fontId="1" fillId="0" borderId="36" xfId="0" applyFont="1" applyBorder="1"/>
    <xf numFmtId="0" fontId="1" fillId="0" borderId="8" xfId="0" applyFont="1" applyBorder="1" applyAlignment="1">
      <alignment horizontal="right"/>
    </xf>
    <xf numFmtId="43" fontId="1" fillId="0" borderId="0" xfId="0" applyNumberFormat="1" applyFont="1"/>
    <xf numFmtId="0" fontId="1" fillId="0" borderId="37" xfId="0" applyFont="1" applyBorder="1" applyAlignment="1">
      <alignment horizontal="right"/>
    </xf>
    <xf numFmtId="0" fontId="3" fillId="0" borderId="40" xfId="0" applyFont="1" applyBorder="1"/>
    <xf numFmtId="0" fontId="7" fillId="3" borderId="17" xfId="0" applyFont="1" applyFill="1" applyBorder="1"/>
    <xf numFmtId="0" fontId="1" fillId="0" borderId="40" xfId="0" applyFont="1" applyBorder="1"/>
    <xf numFmtId="0" fontId="7" fillId="3" borderId="39" xfId="0" applyFont="1" applyFill="1" applyBorder="1"/>
    <xf numFmtId="0" fontId="7" fillId="3" borderId="9" xfId="0" applyFont="1" applyFill="1" applyBorder="1"/>
    <xf numFmtId="0" fontId="7" fillId="3" borderId="5" xfId="0" applyFont="1" applyFill="1" applyBorder="1"/>
    <xf numFmtId="0" fontId="10" fillId="4" borderId="5" xfId="0" applyFont="1" applyFill="1" applyBorder="1"/>
    <xf numFmtId="164" fontId="7" fillId="3" borderId="9" xfId="0" applyNumberFormat="1" applyFont="1" applyFill="1" applyBorder="1"/>
    <xf numFmtId="164" fontId="7" fillId="3" borderId="5" xfId="0" applyNumberFormat="1" applyFont="1" applyFill="1" applyBorder="1"/>
    <xf numFmtId="9" fontId="7" fillId="3" borderId="12" xfId="0" applyNumberFormat="1" applyFont="1" applyFill="1" applyBorder="1"/>
    <xf numFmtId="9" fontId="7" fillId="3" borderId="41" xfId="0" applyNumberFormat="1" applyFont="1" applyFill="1" applyBorder="1"/>
    <xf numFmtId="164" fontId="1" fillId="0" borderId="42" xfId="0" applyNumberFormat="1" applyFont="1" applyBorder="1"/>
    <xf numFmtId="0" fontId="3" fillId="0" borderId="10" xfId="0" applyFont="1" applyBorder="1"/>
    <xf numFmtId="0" fontId="14" fillId="4" borderId="1" xfId="0" applyFont="1" applyFill="1" applyBorder="1"/>
    <xf numFmtId="0" fontId="3" fillId="0" borderId="47" xfId="0" applyFont="1" applyBorder="1"/>
    <xf numFmtId="0" fontId="3" fillId="0" borderId="48" xfId="0" applyFont="1" applyBorder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6" fillId="0" borderId="14" xfId="0" applyFont="1" applyBorder="1" applyProtection="1">
      <protection hidden="1"/>
    </xf>
    <xf numFmtId="164" fontId="6" fillId="0" borderId="15" xfId="0" applyNumberFormat="1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6" fillId="0" borderId="16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Border="1" applyProtection="1">
      <protection hidden="1"/>
    </xf>
    <xf numFmtId="9" fontId="5" fillId="3" borderId="5" xfId="0" applyNumberFormat="1" applyFont="1" applyFill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10" xfId="0" applyFont="1" applyBorder="1" applyProtection="1">
      <protection hidden="1"/>
    </xf>
    <xf numFmtId="164" fontId="5" fillId="3" borderId="5" xfId="0" applyNumberFormat="1" applyFont="1" applyFill="1" applyBorder="1" applyProtection="1">
      <protection hidden="1"/>
    </xf>
    <xf numFmtId="164" fontId="6" fillId="0" borderId="9" xfId="0" applyNumberFormat="1" applyFont="1" applyBorder="1" applyProtection="1">
      <protection hidden="1"/>
    </xf>
    <xf numFmtId="9" fontId="6" fillId="0" borderId="5" xfId="0" applyNumberFormat="1" applyFont="1" applyBorder="1" applyProtection="1">
      <protection hidden="1"/>
    </xf>
    <xf numFmtId="44" fontId="7" fillId="0" borderId="9" xfId="0" applyNumberFormat="1" applyFont="1" applyBorder="1" applyAlignment="1" applyProtection="1">
      <alignment horizontal="center"/>
      <protection hidden="1"/>
    </xf>
    <xf numFmtId="0" fontId="8" fillId="0" borderId="9" xfId="0" applyFont="1" applyBorder="1" applyProtection="1">
      <protection hidden="1"/>
    </xf>
    <xf numFmtId="0" fontId="8" fillId="0" borderId="10" xfId="0" applyFont="1" applyBorder="1" applyProtection="1">
      <protection hidden="1"/>
    </xf>
    <xf numFmtId="9" fontId="6" fillId="0" borderId="9" xfId="0" applyNumberFormat="1" applyFont="1" applyBorder="1" applyProtection="1">
      <protection hidden="1"/>
    </xf>
    <xf numFmtId="0" fontId="6" fillId="0" borderId="11" xfId="0" applyFont="1" applyBorder="1" applyProtection="1">
      <protection hidden="1"/>
    </xf>
    <xf numFmtId="164" fontId="6" fillId="0" borderId="12" xfId="0" applyNumberFormat="1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6" fillId="0" borderId="13" xfId="0" applyFont="1" applyBorder="1" applyProtection="1">
      <protection hidden="1"/>
    </xf>
    <xf numFmtId="9" fontId="2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3" fillId="0" borderId="40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7" fillId="3" borderId="49" xfId="0" applyFont="1" applyFill="1" applyBorder="1" applyProtection="1">
      <protection hidden="1"/>
    </xf>
    <xf numFmtId="0" fontId="1" fillId="0" borderId="40" xfId="0" applyFont="1" applyBorder="1" applyProtection="1">
      <protection hidden="1"/>
    </xf>
    <xf numFmtId="0" fontId="7" fillId="3" borderId="39" xfId="0" applyFont="1" applyFill="1" applyBorder="1" applyProtection="1">
      <protection hidden="1"/>
    </xf>
    <xf numFmtId="0" fontId="7" fillId="3" borderId="50" xfId="0" applyFont="1" applyFill="1" applyBorder="1" applyProtection="1">
      <protection hidden="1"/>
    </xf>
    <xf numFmtId="0" fontId="7" fillId="3" borderId="5" xfId="0" applyFont="1" applyFill="1" applyBorder="1" applyProtection="1">
      <protection hidden="1"/>
    </xf>
    <xf numFmtId="0" fontId="10" fillId="4" borderId="51" xfId="0" applyFont="1" applyFill="1" applyBorder="1" applyProtection="1">
      <protection hidden="1"/>
    </xf>
    <xf numFmtId="0" fontId="10" fillId="4" borderId="5" xfId="0" applyFont="1" applyFill="1" applyBorder="1" applyProtection="1">
      <protection hidden="1"/>
    </xf>
    <xf numFmtId="0" fontId="1" fillId="0" borderId="11" xfId="0" applyFont="1" applyBorder="1" applyProtection="1">
      <protection hidden="1"/>
    </xf>
    <xf numFmtId="164" fontId="1" fillId="0" borderId="12" xfId="0" applyNumberFormat="1" applyFont="1" applyBorder="1" applyProtection="1">
      <protection hidden="1"/>
    </xf>
    <xf numFmtId="0" fontId="1" fillId="0" borderId="13" xfId="0" applyFont="1" applyBorder="1" applyProtection="1">
      <protection hidden="1"/>
    </xf>
    <xf numFmtId="164" fontId="7" fillId="3" borderId="50" xfId="0" applyNumberFormat="1" applyFont="1" applyFill="1" applyBorder="1" applyProtection="1">
      <protection hidden="1"/>
    </xf>
    <xf numFmtId="164" fontId="7" fillId="3" borderId="5" xfId="0" applyNumberFormat="1" applyFont="1" applyFill="1" applyBorder="1" applyProtection="1">
      <protection hidden="1"/>
    </xf>
    <xf numFmtId="9" fontId="7" fillId="3" borderId="52" xfId="0" applyNumberFormat="1" applyFont="1" applyFill="1" applyBorder="1" applyProtection="1">
      <protection hidden="1"/>
    </xf>
    <xf numFmtId="9" fontId="7" fillId="3" borderId="41" xfId="0" applyNumberFormat="1" applyFont="1" applyFill="1" applyBorder="1" applyProtection="1">
      <protection hidden="1"/>
    </xf>
    <xf numFmtId="0" fontId="11" fillId="4" borderId="21" xfId="0" applyFont="1" applyFill="1" applyBorder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3" fillId="2" borderId="22" xfId="0" applyFont="1" applyFill="1" applyBorder="1" applyProtection="1">
      <protection hidden="1"/>
    </xf>
    <xf numFmtId="0" fontId="3" fillId="2" borderId="23" xfId="0" applyFont="1" applyFill="1" applyBorder="1" applyProtection="1">
      <protection hidden="1"/>
    </xf>
    <xf numFmtId="164" fontId="6" fillId="0" borderId="16" xfId="0" applyNumberFormat="1" applyFont="1" applyBorder="1" applyProtection="1">
      <protection hidden="1"/>
    </xf>
    <xf numFmtId="164" fontId="1" fillId="0" borderId="9" xfId="0" applyNumberFormat="1" applyFont="1" applyBorder="1" applyProtection="1">
      <protection hidden="1"/>
    </xf>
    <xf numFmtId="44" fontId="1" fillId="0" borderId="9" xfId="0" applyNumberFormat="1" applyFont="1" applyBorder="1" applyProtection="1">
      <protection hidden="1"/>
    </xf>
    <xf numFmtId="164" fontId="1" fillId="0" borderId="10" xfId="0" applyNumberFormat="1" applyFont="1" applyBorder="1" applyProtection="1">
      <protection hidden="1"/>
    </xf>
    <xf numFmtId="0" fontId="6" fillId="0" borderId="24" xfId="0" applyFont="1" applyBorder="1" applyProtection="1">
      <protection hidden="1"/>
    </xf>
    <xf numFmtId="164" fontId="6" fillId="0" borderId="25" xfId="0" applyNumberFormat="1" applyFont="1" applyBorder="1" applyProtection="1">
      <protection hidden="1"/>
    </xf>
    <xf numFmtId="164" fontId="6" fillId="0" borderId="26" xfId="0" applyNumberFormat="1" applyFont="1" applyBorder="1" applyProtection="1">
      <protection hidden="1"/>
    </xf>
    <xf numFmtId="44" fontId="6" fillId="0" borderId="12" xfId="0" applyNumberFormat="1" applyFont="1" applyBorder="1" applyProtection="1">
      <protection hidden="1"/>
    </xf>
    <xf numFmtId="164" fontId="6" fillId="0" borderId="13" xfId="0" applyNumberFormat="1" applyFont="1" applyBorder="1" applyProtection="1">
      <protection hidden="1"/>
    </xf>
    <xf numFmtId="0" fontId="14" fillId="4" borderId="27" xfId="0" applyFont="1" applyFill="1" applyBorder="1" applyProtection="1">
      <protection hidden="1"/>
    </xf>
    <xf numFmtId="164" fontId="14" fillId="4" borderId="28" xfId="0" applyNumberFormat="1" applyFont="1" applyFill="1" applyBorder="1" applyProtection="1">
      <protection hidden="1"/>
    </xf>
    <xf numFmtId="164" fontId="14" fillId="4" borderId="29" xfId="0" applyNumberFormat="1" applyFont="1" applyFill="1" applyBorder="1" applyProtection="1">
      <protection hidden="1"/>
    </xf>
    <xf numFmtId="0" fontId="1" fillId="2" borderId="30" xfId="0" applyFont="1" applyFill="1" applyBorder="1" applyProtection="1">
      <protection hidden="1"/>
    </xf>
    <xf numFmtId="164" fontId="1" fillId="0" borderId="15" xfId="0" applyNumberFormat="1" applyFont="1" applyBorder="1" applyProtection="1">
      <protection hidden="1"/>
    </xf>
    <xf numFmtId="164" fontId="1" fillId="0" borderId="16" xfId="0" applyNumberFormat="1" applyFont="1" applyBorder="1" applyProtection="1">
      <protection hidden="1"/>
    </xf>
    <xf numFmtId="164" fontId="6" fillId="0" borderId="10" xfId="0" applyNumberFormat="1" applyFont="1" applyBorder="1" applyProtection="1">
      <protection hidden="1"/>
    </xf>
    <xf numFmtId="0" fontId="1" fillId="0" borderId="24" xfId="0" applyFont="1" applyBorder="1" applyProtection="1">
      <protection hidden="1"/>
    </xf>
    <xf numFmtId="164" fontId="1" fillId="0" borderId="25" xfId="0" applyNumberFormat="1" applyFont="1" applyBorder="1" applyProtection="1">
      <protection hidden="1"/>
    </xf>
    <xf numFmtId="164" fontId="1" fillId="0" borderId="26" xfId="0" applyNumberFormat="1" applyFont="1" applyBorder="1" applyProtection="1">
      <protection hidden="1"/>
    </xf>
    <xf numFmtId="164" fontId="1" fillId="0" borderId="13" xfId="0" applyNumberFormat="1" applyFont="1" applyBorder="1" applyProtection="1">
      <protection hidden="1"/>
    </xf>
    <xf numFmtId="44" fontId="1" fillId="0" borderId="0" xfId="0" applyNumberFormat="1" applyFont="1" applyProtection="1">
      <protection hidden="1"/>
    </xf>
    <xf numFmtId="164" fontId="3" fillId="0" borderId="0" xfId="0" applyNumberFormat="1" applyFont="1" applyProtection="1">
      <protection hidden="1"/>
    </xf>
    <xf numFmtId="0" fontId="1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3" fillId="2" borderId="21" xfId="0" applyFont="1" applyFill="1" applyBorder="1" applyProtection="1">
      <protection hidden="1"/>
    </xf>
    <xf numFmtId="164" fontId="1" fillId="0" borderId="0" xfId="0" applyNumberFormat="1" applyFont="1" applyProtection="1">
      <protection hidden="1"/>
    </xf>
    <xf numFmtId="164" fontId="4" fillId="0" borderId="9" xfId="0" applyNumberFormat="1" applyFont="1" applyBorder="1" applyProtection="1">
      <protection hidden="1"/>
    </xf>
    <xf numFmtId="2" fontId="1" fillId="0" borderId="9" xfId="0" applyNumberFormat="1" applyFont="1" applyBorder="1" applyProtection="1">
      <protection hidden="1"/>
    </xf>
    <xf numFmtId="0" fontId="6" fillId="0" borderId="31" xfId="0" applyFont="1" applyBorder="1" applyProtection="1">
      <protection hidden="1"/>
    </xf>
    <xf numFmtId="44" fontId="6" fillId="0" borderId="15" xfId="0" applyNumberFormat="1" applyFont="1" applyBorder="1" applyProtection="1">
      <protection hidden="1"/>
    </xf>
    <xf numFmtId="165" fontId="1" fillId="0" borderId="9" xfId="0" applyNumberFormat="1" applyFont="1" applyBorder="1" applyProtection="1">
      <protection hidden="1"/>
    </xf>
    <xf numFmtId="0" fontId="1" fillId="0" borderId="3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1" fillId="0" borderId="12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1" fillId="0" borderId="35" xfId="0" applyFont="1" applyBorder="1" applyProtection="1">
      <protection hidden="1"/>
    </xf>
    <xf numFmtId="0" fontId="16" fillId="0" borderId="0" xfId="0" applyFont="1" applyProtection="1">
      <protection hidden="1"/>
    </xf>
    <xf numFmtId="0" fontId="1" fillId="0" borderId="36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16" xfId="0" applyFont="1" applyBorder="1" applyProtection="1">
      <protection hidden="1"/>
    </xf>
    <xf numFmtId="0" fontId="1" fillId="0" borderId="8" xfId="0" applyFont="1" applyBorder="1" applyAlignment="1" applyProtection="1">
      <alignment horizontal="right"/>
      <protection hidden="1"/>
    </xf>
    <xf numFmtId="43" fontId="1" fillId="0" borderId="0" xfId="0" applyNumberFormat="1" applyFont="1" applyProtection="1"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164" fontId="3" fillId="0" borderId="5" xfId="0" applyNumberFormat="1" applyFont="1" applyBorder="1" applyProtection="1">
      <protection hidden="1"/>
    </xf>
    <xf numFmtId="0" fontId="5" fillId="0" borderId="5" xfId="0" applyFont="1" applyBorder="1" applyProtection="1">
      <protection hidden="1"/>
    </xf>
    <xf numFmtId="44" fontId="5" fillId="3" borderId="5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Border="1" applyProtection="1">
      <protection hidden="1"/>
    </xf>
    <xf numFmtId="9" fontId="7" fillId="0" borderId="9" xfId="0" applyNumberFormat="1" applyFont="1" applyBorder="1" applyProtection="1">
      <protection hidden="1"/>
    </xf>
    <xf numFmtId="0" fontId="5" fillId="3" borderId="17" xfId="0" applyFont="1" applyFill="1" applyBorder="1" applyProtection="1">
      <protection hidden="1"/>
    </xf>
    <xf numFmtId="0" fontId="5" fillId="3" borderId="18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5" fillId="3" borderId="19" xfId="0" applyFont="1" applyFill="1" applyBorder="1" applyProtection="1">
      <protection hidden="1"/>
    </xf>
    <xf numFmtId="0" fontId="10" fillId="4" borderId="19" xfId="0" applyFont="1" applyFill="1" applyBorder="1" applyProtection="1">
      <protection hidden="1"/>
    </xf>
    <xf numFmtId="164" fontId="5" fillId="3" borderId="9" xfId="0" applyNumberFormat="1" applyFont="1" applyFill="1" applyBorder="1" applyProtection="1">
      <protection hidden="1"/>
    </xf>
    <xf numFmtId="164" fontId="5" fillId="3" borderId="19" xfId="0" applyNumberFormat="1" applyFont="1" applyFill="1" applyBorder="1" applyProtection="1">
      <protection hidden="1"/>
    </xf>
    <xf numFmtId="9" fontId="5" fillId="3" borderId="12" xfId="0" applyNumberFormat="1" applyFont="1" applyFill="1" applyBorder="1" applyProtection="1">
      <protection hidden="1"/>
    </xf>
    <xf numFmtId="9" fontId="5" fillId="3" borderId="20" xfId="0" applyNumberFormat="1" applyFont="1" applyFill="1" applyBorder="1" applyProtection="1">
      <protection hidden="1"/>
    </xf>
    <xf numFmtId="0" fontId="1" fillId="0" borderId="31" xfId="0" applyFont="1" applyBorder="1" applyProtection="1">
      <protection hidden="1"/>
    </xf>
    <xf numFmtId="44" fontId="1" fillId="0" borderId="15" xfId="0" applyNumberFormat="1" applyFont="1" applyBorder="1" applyProtection="1">
      <protection hidden="1"/>
    </xf>
    <xf numFmtId="164" fontId="3" fillId="6" borderId="5" xfId="0" applyNumberFormat="1" applyFont="1" applyFill="1" applyBorder="1" applyProtection="1">
      <protection hidden="1"/>
    </xf>
    <xf numFmtId="0" fontId="1" fillId="0" borderId="0" xfId="0" applyFont="1" applyProtection="1">
      <protection locked="0" hidden="1"/>
    </xf>
    <xf numFmtId="164" fontId="5" fillId="3" borderId="5" xfId="0" applyNumberFormat="1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164" fontId="1" fillId="0" borderId="43" xfId="0" applyNumberFormat="1" applyFont="1" applyBorder="1" applyProtection="1">
      <protection hidden="1"/>
    </xf>
    <xf numFmtId="164" fontId="1" fillId="0" borderId="44" xfId="0" applyNumberFormat="1" applyFont="1" applyBorder="1" applyProtection="1">
      <protection hidden="1"/>
    </xf>
    <xf numFmtId="164" fontId="3" fillId="6" borderId="39" xfId="0" applyNumberFormat="1" applyFont="1" applyFill="1" applyBorder="1" applyProtection="1">
      <protection hidden="1"/>
    </xf>
    <xf numFmtId="44" fontId="1" fillId="0" borderId="25" xfId="0" applyNumberFormat="1" applyFont="1" applyBorder="1" applyProtection="1">
      <protection hidden="1"/>
    </xf>
    <xf numFmtId="164" fontId="14" fillId="4" borderId="45" xfId="0" applyNumberFormat="1" applyFont="1" applyFill="1" applyBorder="1" applyProtection="1">
      <protection hidden="1"/>
    </xf>
    <xf numFmtId="164" fontId="14" fillId="4" borderId="46" xfId="0" applyNumberFormat="1" applyFont="1" applyFill="1" applyBorder="1" applyProtection="1">
      <protection hidden="1"/>
    </xf>
    <xf numFmtId="0" fontId="7" fillId="3" borderId="17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164" fontId="7" fillId="3" borderId="9" xfId="0" applyNumberFormat="1" applyFont="1" applyFill="1" applyBorder="1" applyProtection="1">
      <protection hidden="1"/>
    </xf>
    <xf numFmtId="9" fontId="7" fillId="3" borderId="12" xfId="0" applyNumberFormat="1" applyFont="1" applyFill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4" fontId="5" fillId="3" borderId="38" xfId="0" applyNumberFormat="1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5" fillId="0" borderId="9" xfId="0" applyFont="1" applyBorder="1" applyProtection="1">
      <protection locked="0"/>
    </xf>
    <xf numFmtId="9" fontId="5" fillId="3" borderId="39" xfId="0" applyNumberFormat="1" applyFont="1" applyFill="1" applyBorder="1" applyProtection="1">
      <protection locked="0"/>
    </xf>
    <xf numFmtId="44" fontId="5" fillId="3" borderId="5" xfId="0" applyNumberFormat="1" applyFont="1" applyFill="1" applyBorder="1" applyAlignment="1" applyProtection="1">
      <alignment horizontal="center"/>
      <protection locked="0"/>
    </xf>
    <xf numFmtId="9" fontId="6" fillId="0" borderId="5" xfId="0" applyNumberFormat="1" applyFont="1" applyBorder="1" applyProtection="1">
      <protection locked="0"/>
    </xf>
    <xf numFmtId="0" fontId="6" fillId="0" borderId="9" xfId="0" applyFont="1" applyBorder="1" applyProtection="1">
      <protection locked="0"/>
    </xf>
    <xf numFmtId="44" fontId="5" fillId="0" borderId="9" xfId="0" applyNumberFormat="1" applyFont="1" applyBorder="1" applyAlignment="1" applyProtection="1">
      <alignment horizontal="center"/>
      <protection locked="0"/>
    </xf>
    <xf numFmtId="0" fontId="8" fillId="0" borderId="9" xfId="0" applyFont="1" applyBorder="1" applyProtection="1">
      <protection locked="0"/>
    </xf>
    <xf numFmtId="9" fontId="5" fillId="3" borderId="5" xfId="0" applyNumberFormat="1" applyFont="1" applyFill="1" applyBorder="1" applyProtection="1">
      <protection locked="0"/>
    </xf>
    <xf numFmtId="9" fontId="5" fillId="0" borderId="9" xfId="0" applyNumberFormat="1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0" xfId="0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0" fontId="6" fillId="0" borderId="10" xfId="0" applyFont="1" applyBorder="1" applyProtection="1">
      <protection locked="0"/>
    </xf>
    <xf numFmtId="44" fontId="6" fillId="0" borderId="9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Protection="1">
      <protection locked="0"/>
    </xf>
    <xf numFmtId="9" fontId="6" fillId="0" borderId="9" xfId="0" applyNumberFormat="1" applyFont="1" applyBorder="1" applyProtection="1">
      <protection locked="0"/>
    </xf>
    <xf numFmtId="0" fontId="9" fillId="0" borderId="10" xfId="0" applyFont="1" applyBorder="1" applyProtection="1">
      <protection locked="0"/>
    </xf>
    <xf numFmtId="9" fontId="7" fillId="0" borderId="9" xfId="0" applyNumberFormat="1" applyFont="1" applyBorder="1" applyProtection="1">
      <protection locked="0"/>
    </xf>
    <xf numFmtId="164" fontId="6" fillId="0" borderId="12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44" fontId="1" fillId="0" borderId="10" xfId="0" applyNumberFormat="1" applyFont="1" applyBorder="1" applyProtection="1">
      <protection hidden="1"/>
    </xf>
    <xf numFmtId="44" fontId="1" fillId="0" borderId="26" xfId="0" applyNumberFormat="1" applyFont="1" applyBorder="1" applyProtection="1">
      <protection hidden="1"/>
    </xf>
    <xf numFmtId="164" fontId="6" fillId="0" borderId="15" xfId="0" applyNumberFormat="1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1" fillId="0" borderId="0" xfId="0" applyFont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7" fillId="0" borderId="9" xfId="0" applyFont="1" applyBorder="1" applyProtection="1">
      <protection locked="0"/>
    </xf>
    <xf numFmtId="44" fontId="7" fillId="0" borderId="9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16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80" zoomScaleNormal="80" workbookViewId="0">
      <selection activeCell="C69" sqref="C69"/>
    </sheetView>
  </sheetViews>
  <sheetFormatPr defaultColWidth="11.19921875" defaultRowHeight="15" customHeight="1" x14ac:dyDescent="0.3"/>
  <cols>
    <col min="1" max="1" width="6.59765625" style="83" customWidth="1"/>
    <col min="2" max="2" width="38.796875" style="83" customWidth="1"/>
    <col min="3" max="3" width="18.3984375" style="83" customWidth="1"/>
    <col min="4" max="4" width="19.3984375" style="83" customWidth="1"/>
    <col min="5" max="5" width="27.69921875" style="83" customWidth="1"/>
    <col min="6" max="6" width="16.09765625" style="83" bestFit="1" customWidth="1"/>
    <col min="7" max="8" width="11.19921875" style="83" customWidth="1"/>
    <col min="9" max="9" width="5.8984375" style="83" customWidth="1"/>
    <col min="10" max="10" width="39.5" style="83" customWidth="1"/>
    <col min="11" max="11" width="14.3984375" style="83" customWidth="1"/>
    <col min="12" max="12" width="10.796875" style="83" customWidth="1"/>
    <col min="13" max="13" width="9.59765625" style="83" customWidth="1"/>
    <col min="14" max="14" width="6.59765625" style="83" customWidth="1"/>
    <col min="15" max="15" width="40.19921875" style="83" customWidth="1"/>
    <col min="16" max="16" width="17.69921875" style="83" customWidth="1"/>
    <col min="17" max="17" width="19.3984375" style="83" customWidth="1"/>
    <col min="18" max="18" width="11.69921875" style="83" customWidth="1"/>
    <col min="19" max="19" width="4.8984375" style="83" customWidth="1"/>
    <col min="20" max="26" width="6.59765625" style="83" customWidth="1"/>
    <col min="27" max="16384" width="11.19921875" style="83"/>
  </cols>
  <sheetData>
    <row r="1" spans="1:26" ht="15.6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25.8" x14ac:dyDescent="0.5">
      <c r="A2" s="82"/>
      <c r="B2" s="84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.6" x14ac:dyDescent="0.3">
      <c r="A3" s="82"/>
      <c r="B3" s="85" t="s">
        <v>1</v>
      </c>
      <c r="C3" s="86" t="s">
        <v>2</v>
      </c>
      <c r="D3" s="87" t="s">
        <v>2</v>
      </c>
      <c r="E3" s="88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6" x14ac:dyDescent="0.3">
      <c r="A4" s="82"/>
      <c r="B4" s="93" t="s">
        <v>4</v>
      </c>
      <c r="C4" s="205">
        <v>1</v>
      </c>
      <c r="D4" s="94"/>
      <c r="E4" s="95" t="s">
        <v>5</v>
      </c>
      <c r="F4" s="82"/>
      <c r="G4" s="82"/>
      <c r="H4" s="82"/>
      <c r="I4" s="204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5.6" x14ac:dyDescent="0.3">
      <c r="A5" s="82"/>
      <c r="B5" s="93"/>
      <c r="C5" s="188"/>
      <c r="D5" s="94"/>
      <c r="E5" s="95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6" x14ac:dyDescent="0.3">
      <c r="A6" s="82"/>
      <c r="B6" s="96" t="s">
        <v>6</v>
      </c>
      <c r="C6" s="97">
        <v>7.0000000000000007E-2</v>
      </c>
      <c r="D6" s="98"/>
      <c r="E6" s="99" t="s">
        <v>7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6" x14ac:dyDescent="0.3">
      <c r="A7" s="82"/>
      <c r="B7" s="96" t="s">
        <v>8</v>
      </c>
      <c r="C7" s="189" t="s">
        <v>9</v>
      </c>
      <c r="D7" s="98"/>
      <c r="E7" s="99" t="s">
        <v>10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6" x14ac:dyDescent="0.3">
      <c r="A8" s="82"/>
      <c r="B8" s="96" t="s">
        <v>11</v>
      </c>
      <c r="C8" s="103">
        <v>1000</v>
      </c>
      <c r="D8" s="98"/>
      <c r="E8" s="99" t="s">
        <v>7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6" x14ac:dyDescent="0.3">
      <c r="A9" s="82"/>
      <c r="B9" s="96" t="s">
        <v>12</v>
      </c>
      <c r="C9" s="103">
        <v>0</v>
      </c>
      <c r="D9" s="98"/>
      <c r="E9" s="99" t="s">
        <v>7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6" x14ac:dyDescent="0.3">
      <c r="A10" s="82"/>
      <c r="B10" s="100" t="s">
        <v>13</v>
      </c>
      <c r="C10" s="105">
        <v>0.09</v>
      </c>
      <c r="D10" s="98"/>
      <c r="E10" s="9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6" x14ac:dyDescent="0.3">
      <c r="A11" s="82"/>
      <c r="B11" s="96"/>
      <c r="C11" s="106"/>
      <c r="D11" s="107"/>
      <c r="E11" s="10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6" x14ac:dyDescent="0.3">
      <c r="A12" s="82"/>
      <c r="B12" s="100" t="s">
        <v>14</v>
      </c>
      <c r="C12" s="109">
        <v>0</v>
      </c>
      <c r="D12" s="104">
        <v>0</v>
      </c>
      <c r="E12" s="102" t="s">
        <v>15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6" x14ac:dyDescent="0.3">
      <c r="A13" s="82"/>
      <c r="B13" s="100" t="s">
        <v>16</v>
      </c>
      <c r="C13" s="109">
        <v>0</v>
      </c>
      <c r="D13" s="104">
        <v>0</v>
      </c>
      <c r="E13" s="102" t="s">
        <v>15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6" x14ac:dyDescent="0.3">
      <c r="A14" s="82"/>
      <c r="B14" s="100" t="s">
        <v>17</v>
      </c>
      <c r="C14" s="109">
        <v>0</v>
      </c>
      <c r="D14" s="104">
        <v>0</v>
      </c>
      <c r="E14" s="102" t="s">
        <v>15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5.6" x14ac:dyDescent="0.3">
      <c r="A15" s="82"/>
      <c r="B15" s="100" t="s">
        <v>18</v>
      </c>
      <c r="C15" s="109">
        <v>0</v>
      </c>
      <c r="D15" s="104">
        <v>0</v>
      </c>
      <c r="E15" s="102" t="s">
        <v>15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6" x14ac:dyDescent="0.3">
      <c r="A16" s="82"/>
      <c r="B16" s="96" t="s">
        <v>19</v>
      </c>
      <c r="C16" s="97">
        <v>0.75</v>
      </c>
      <c r="D16" s="98"/>
      <c r="E16" s="190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6" x14ac:dyDescent="0.3">
      <c r="A17" s="82"/>
      <c r="B17" s="96"/>
      <c r="C17" s="191"/>
      <c r="D17" s="98"/>
      <c r="E17" s="99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6" x14ac:dyDescent="0.3">
      <c r="A18" s="82"/>
      <c r="B18" s="110" t="s">
        <v>20</v>
      </c>
      <c r="C18" s="111">
        <v>0</v>
      </c>
      <c r="D18" s="112"/>
      <c r="E18" s="113" t="s">
        <v>21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6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6" x14ac:dyDescent="0.3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22.8" customHeight="1" x14ac:dyDescent="0.5">
      <c r="A21" s="82"/>
      <c r="B21" s="84" t="s">
        <v>22</v>
      </c>
      <c r="C21" s="82"/>
      <c r="D21" s="82"/>
      <c r="E21" s="82"/>
      <c r="F21" s="82"/>
      <c r="G21" s="82"/>
      <c r="H21" s="82"/>
      <c r="I21" s="82"/>
      <c r="J21" s="114" t="s">
        <v>23</v>
      </c>
      <c r="K21" s="82"/>
      <c r="L21" s="82"/>
      <c r="M21" s="82"/>
      <c r="N21" s="82"/>
      <c r="O21" s="114" t="s">
        <v>24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6" x14ac:dyDescent="0.3">
      <c r="A22" s="82"/>
      <c r="B22" s="85" t="s">
        <v>1</v>
      </c>
      <c r="C22" s="86" t="s">
        <v>2</v>
      </c>
      <c r="D22" s="88" t="s">
        <v>3</v>
      </c>
      <c r="E22" s="115"/>
      <c r="F22" s="82"/>
      <c r="G22" s="82"/>
      <c r="H22" s="82"/>
      <c r="I22" s="82"/>
      <c r="J22" s="85" t="s">
        <v>1</v>
      </c>
      <c r="K22" s="86" t="s">
        <v>2</v>
      </c>
      <c r="L22" s="115"/>
      <c r="M22" s="115"/>
      <c r="N22" s="82"/>
      <c r="O22" s="85" t="s">
        <v>1</v>
      </c>
      <c r="P22" s="86" t="s">
        <v>2</v>
      </c>
      <c r="Q22" s="115"/>
      <c r="R22" s="115"/>
      <c r="S22" s="82"/>
      <c r="T22" s="82"/>
      <c r="U22" s="82"/>
      <c r="V22" s="82"/>
      <c r="W22" s="82"/>
      <c r="X22" s="82"/>
      <c r="Y22" s="82"/>
      <c r="Z22" s="82"/>
    </row>
    <row r="23" spans="1:26" ht="15.6" x14ac:dyDescent="0.3">
      <c r="A23" s="82"/>
      <c r="B23" s="117" t="s">
        <v>25</v>
      </c>
      <c r="C23" s="118">
        <f>SUM(K23,P34)</f>
        <v>39</v>
      </c>
      <c r="D23" s="119" t="s">
        <v>26</v>
      </c>
      <c r="E23" s="82"/>
      <c r="F23" s="82"/>
      <c r="G23" s="82"/>
      <c r="H23" s="82"/>
      <c r="I23" s="82"/>
      <c r="J23" s="117" t="s">
        <v>25</v>
      </c>
      <c r="K23" s="192">
        <v>39</v>
      </c>
      <c r="L23" s="82"/>
      <c r="M23" s="82"/>
      <c r="N23" s="82"/>
      <c r="O23" s="117" t="s">
        <v>25</v>
      </c>
      <c r="P23" s="193">
        <v>250</v>
      </c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6" x14ac:dyDescent="0.3">
      <c r="A24" s="82"/>
      <c r="B24" s="96" t="s">
        <v>27</v>
      </c>
      <c r="C24" s="98">
        <f t="shared" ref="C24:C26" si="0">SUM(K24,P24)</f>
        <v>0</v>
      </c>
      <c r="D24" s="99" t="s">
        <v>28</v>
      </c>
      <c r="E24" s="82"/>
      <c r="F24" s="82"/>
      <c r="G24" s="82"/>
      <c r="H24" s="82"/>
      <c r="I24" s="82"/>
      <c r="J24" s="96" t="s">
        <v>27</v>
      </c>
      <c r="K24" s="194">
        <v>0</v>
      </c>
      <c r="L24" s="82"/>
      <c r="M24" s="82"/>
      <c r="N24" s="82"/>
      <c r="O24" s="96" t="s">
        <v>27</v>
      </c>
      <c r="P24" s="195">
        <v>0</v>
      </c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6" x14ac:dyDescent="0.3">
      <c r="A25" s="82"/>
      <c r="B25" s="96" t="s">
        <v>29</v>
      </c>
      <c r="C25" s="98">
        <f t="shared" si="0"/>
        <v>289</v>
      </c>
      <c r="D25" s="99" t="s">
        <v>30</v>
      </c>
      <c r="E25" s="82"/>
      <c r="F25" s="82"/>
      <c r="G25" s="82"/>
      <c r="H25" s="82"/>
      <c r="I25" s="82"/>
      <c r="J25" s="96" t="s">
        <v>29</v>
      </c>
      <c r="K25" s="196">
        <f>SUM(K23:K24)</f>
        <v>39</v>
      </c>
      <c r="L25" s="82"/>
      <c r="M25" s="82"/>
      <c r="N25" s="82"/>
      <c r="O25" s="96" t="s">
        <v>29</v>
      </c>
      <c r="P25" s="196">
        <f>SUM(P23:P24)</f>
        <v>250</v>
      </c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6" x14ac:dyDescent="0.3">
      <c r="A26" s="82"/>
      <c r="B26" s="127" t="s">
        <v>31</v>
      </c>
      <c r="C26" s="128">
        <f t="shared" si="0"/>
        <v>5310</v>
      </c>
      <c r="D26" s="129" t="s">
        <v>32</v>
      </c>
      <c r="E26" s="82"/>
      <c r="F26" s="82"/>
      <c r="G26" s="82"/>
      <c r="H26" s="82"/>
      <c r="I26" s="82"/>
      <c r="J26" s="96" t="s">
        <v>33</v>
      </c>
      <c r="K26" s="197">
        <v>510</v>
      </c>
      <c r="L26" s="82"/>
      <c r="M26" s="82"/>
      <c r="N26" s="82"/>
      <c r="O26" s="96" t="s">
        <v>33</v>
      </c>
      <c r="P26" s="198">
        <v>4800</v>
      </c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6" x14ac:dyDescent="0.3">
      <c r="A27" s="82"/>
      <c r="B27" s="82"/>
      <c r="C27" s="82"/>
      <c r="D27" s="82"/>
      <c r="E27" s="82"/>
      <c r="F27" s="82"/>
      <c r="G27" s="82"/>
      <c r="H27" s="82"/>
      <c r="I27" s="82"/>
      <c r="J27" s="127" t="s">
        <v>34</v>
      </c>
      <c r="K27" s="199">
        <v>0.09</v>
      </c>
      <c r="L27" s="82"/>
      <c r="M27" s="82"/>
      <c r="N27" s="82"/>
      <c r="O27" s="127" t="s">
        <v>34</v>
      </c>
      <c r="P27" s="200">
        <v>0.09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6" x14ac:dyDescent="0.3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25.8" x14ac:dyDescent="0.5">
      <c r="A29" s="82"/>
      <c r="B29" s="134" t="s">
        <v>35</v>
      </c>
      <c r="C29" s="115"/>
      <c r="D29" s="135"/>
      <c r="E29" s="135"/>
      <c r="F29" s="136"/>
      <c r="G29" s="135"/>
      <c r="H29" s="82"/>
      <c r="I29" s="82"/>
      <c r="J29" s="84"/>
      <c r="K29" s="115"/>
      <c r="L29" s="135"/>
      <c r="M29" s="135"/>
      <c r="N29" s="82"/>
      <c r="O29" s="84"/>
      <c r="P29" s="115"/>
      <c r="Q29" s="135"/>
      <c r="R29" s="135"/>
      <c r="S29" s="136"/>
      <c r="T29" s="82"/>
      <c r="U29" s="82"/>
      <c r="V29" s="82"/>
      <c r="W29" s="82"/>
      <c r="X29" s="82"/>
      <c r="Y29" s="82"/>
      <c r="Z29" s="82"/>
    </row>
    <row r="30" spans="1:26" ht="15.6" x14ac:dyDescent="0.3">
      <c r="A30" s="82"/>
      <c r="B30" s="85" t="s">
        <v>1</v>
      </c>
      <c r="C30" s="137" t="s">
        <v>36</v>
      </c>
      <c r="D30" s="137" t="s">
        <v>37</v>
      </c>
      <c r="E30" s="137" t="s">
        <v>38</v>
      </c>
      <c r="F30" s="137" t="s">
        <v>39</v>
      </c>
      <c r="G30" s="137" t="s">
        <v>34</v>
      </c>
      <c r="H30" s="138" t="s">
        <v>29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6" x14ac:dyDescent="0.3">
      <c r="A31" s="82"/>
      <c r="B31" s="117" t="s">
        <v>4</v>
      </c>
      <c r="C31" s="152">
        <f>-SUM(L42,Q42)</f>
        <v>265.13761467889907</v>
      </c>
      <c r="D31" s="118"/>
      <c r="E31" s="118"/>
      <c r="F31" s="152"/>
      <c r="G31" s="152">
        <f>-SUM(M42,R42)</f>
        <v>23.862385321100916</v>
      </c>
      <c r="H31" s="153">
        <f t="shared" ref="H31:H33" si="1">SUM(C31:G31)</f>
        <v>289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6" x14ac:dyDescent="0.3">
      <c r="A32" s="82"/>
      <c r="B32" s="96" t="s">
        <v>40</v>
      </c>
      <c r="C32" s="140">
        <f>SUM(C89)</f>
        <v>1070.9924770642206</v>
      </c>
      <c r="D32" s="140">
        <f>SUM(C88)</f>
        <v>3212.98</v>
      </c>
      <c r="E32" s="141"/>
      <c r="F32" s="140"/>
      <c r="G32" s="140">
        <f>SUM(E48)</f>
        <v>385.55752293577979</v>
      </c>
      <c r="H32" s="142">
        <f t="shared" si="1"/>
        <v>4669.5300000000007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6" x14ac:dyDescent="0.3">
      <c r="A33" s="82"/>
      <c r="B33" s="96" t="s">
        <v>38</v>
      </c>
      <c r="C33" s="141"/>
      <c r="D33" s="140"/>
      <c r="E33" s="140">
        <f>-D44</f>
        <v>322.44954128440367</v>
      </c>
      <c r="F33" s="140"/>
      <c r="G33" s="140">
        <f>-E44</f>
        <v>29.02045871559633</v>
      </c>
      <c r="H33" s="142">
        <f t="shared" si="1"/>
        <v>351.46999999999997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6" x14ac:dyDescent="0.3">
      <c r="A34" s="82"/>
      <c r="B34" s="155" t="s">
        <v>41</v>
      </c>
      <c r="C34" s="156">
        <f>-E34</f>
        <v>0</v>
      </c>
      <c r="D34" s="156"/>
      <c r="E34" s="156">
        <f>C68</f>
        <v>0</v>
      </c>
      <c r="F34" s="156"/>
      <c r="G34" s="156"/>
      <c r="H34" s="157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6" x14ac:dyDescent="0.3">
      <c r="A35" s="82"/>
      <c r="B35" s="110" t="s">
        <v>39</v>
      </c>
      <c r="C35" s="146"/>
      <c r="D35" s="111"/>
      <c r="E35" s="111"/>
      <c r="F35" s="111">
        <f>-SUM(D46)</f>
        <v>0</v>
      </c>
      <c r="G35" s="111">
        <f>SUM(F35*C10)</f>
        <v>0</v>
      </c>
      <c r="H35" s="147">
        <f>SUM(C35:G35)</f>
        <v>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6" x14ac:dyDescent="0.3">
      <c r="A36" s="82"/>
      <c r="B36" s="148" t="s">
        <v>42</v>
      </c>
      <c r="C36" s="149">
        <f t="shared" ref="C36:H36" si="2">SUM(C31:C35)</f>
        <v>1336.1300917431197</v>
      </c>
      <c r="D36" s="149">
        <f t="shared" si="2"/>
        <v>3212.98</v>
      </c>
      <c r="E36" s="149">
        <f t="shared" si="2"/>
        <v>322.44954128440367</v>
      </c>
      <c r="F36" s="149">
        <f t="shared" si="2"/>
        <v>0</v>
      </c>
      <c r="G36" s="149">
        <f t="shared" si="2"/>
        <v>438.44036697247702</v>
      </c>
      <c r="H36" s="150">
        <f t="shared" si="2"/>
        <v>5310.0000000000009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6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6" x14ac:dyDescent="0.3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25.8" x14ac:dyDescent="0.5">
      <c r="A39" s="82"/>
      <c r="B39" s="84" t="s">
        <v>43</v>
      </c>
      <c r="C39" s="82"/>
      <c r="D39" s="82"/>
      <c r="E39" s="82"/>
      <c r="F39" s="82"/>
      <c r="G39" s="82"/>
      <c r="H39" s="82"/>
      <c r="I39" s="82"/>
      <c r="J39" s="84" t="s">
        <v>44</v>
      </c>
      <c r="K39" s="82"/>
      <c r="L39" s="82"/>
      <c r="M39" s="82"/>
      <c r="N39" s="82"/>
      <c r="O39" s="84" t="s">
        <v>45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6" x14ac:dyDescent="0.3">
      <c r="A40" s="82"/>
      <c r="B40" s="85" t="s">
        <v>1</v>
      </c>
      <c r="C40" s="137" t="s">
        <v>46</v>
      </c>
      <c r="D40" s="137" t="s">
        <v>47</v>
      </c>
      <c r="E40" s="138" t="s">
        <v>34</v>
      </c>
      <c r="F40" s="82"/>
      <c r="G40" s="82"/>
      <c r="H40" s="82"/>
      <c r="I40" s="82"/>
      <c r="J40" s="151"/>
      <c r="K40" s="137" t="s">
        <v>48</v>
      </c>
      <c r="L40" s="137" t="s">
        <v>49</v>
      </c>
      <c r="M40" s="138" t="s">
        <v>34</v>
      </c>
      <c r="N40" s="82"/>
      <c r="O40" s="151"/>
      <c r="P40" s="137" t="s">
        <v>48</v>
      </c>
      <c r="Q40" s="137" t="s">
        <v>49</v>
      </c>
      <c r="R40" s="138" t="s">
        <v>34</v>
      </c>
      <c r="S40" s="82"/>
      <c r="T40" s="82"/>
      <c r="U40" s="82"/>
      <c r="V40" s="82"/>
      <c r="W40" s="82"/>
      <c r="X40" s="82"/>
      <c r="Y40" s="82"/>
      <c r="Z40" s="82"/>
    </row>
    <row r="41" spans="1:26" ht="15.6" x14ac:dyDescent="0.3">
      <c r="A41" s="82"/>
      <c r="B41" s="117" t="s">
        <v>50</v>
      </c>
      <c r="C41" s="152">
        <f>SUM(C26)</f>
        <v>5310</v>
      </c>
      <c r="D41" s="152">
        <f t="shared" ref="D41:E41" si="3">SUM(L41,Q41)</f>
        <v>4871.559633027523</v>
      </c>
      <c r="E41" s="153">
        <f t="shared" si="3"/>
        <v>438.44036697247697</v>
      </c>
      <c r="F41" s="82"/>
      <c r="G41" s="82"/>
      <c r="H41" s="82"/>
      <c r="I41" s="82"/>
      <c r="J41" s="117" t="s">
        <v>50</v>
      </c>
      <c r="K41" s="152">
        <f>SUM(K26)</f>
        <v>510</v>
      </c>
      <c r="L41" s="152">
        <f t="shared" ref="L41:L42" si="4">K41-M41</f>
        <v>467.88990825688074</v>
      </c>
      <c r="M41" s="153">
        <f t="shared" ref="M41:M42" si="5">$K$27*(+K41/(1+$K$27))</f>
        <v>42.110091743119263</v>
      </c>
      <c r="N41" s="82"/>
      <c r="O41" s="117" t="s">
        <v>50</v>
      </c>
      <c r="P41" s="152">
        <f>SUM(P26)</f>
        <v>4800</v>
      </c>
      <c r="Q41" s="152">
        <f t="shared" ref="Q41:Q42" si="6">P41-R41</f>
        <v>4403.6697247706425</v>
      </c>
      <c r="R41" s="153">
        <f>$P27*(+P41/(1+$P$27))</f>
        <v>396.33027522935771</v>
      </c>
      <c r="S41" s="82"/>
      <c r="T41" s="82"/>
      <c r="U41" s="82"/>
      <c r="V41" s="82"/>
      <c r="W41" s="82"/>
      <c r="X41" s="82"/>
      <c r="Y41" s="82"/>
      <c r="Z41" s="82"/>
    </row>
    <row r="42" spans="1:26" ht="15.6" x14ac:dyDescent="0.3">
      <c r="A42" s="82"/>
      <c r="B42" s="117" t="s">
        <v>4</v>
      </c>
      <c r="C42" s="140">
        <f>-SUM(C23*C4)</f>
        <v>-39</v>
      </c>
      <c r="D42" s="140">
        <f t="shared" ref="D42:E42" si="7">SUM(L42,Q42)</f>
        <v>-265.13761467889907</v>
      </c>
      <c r="E42" s="142">
        <f t="shared" si="7"/>
        <v>-23.862385321100916</v>
      </c>
      <c r="F42" s="82"/>
      <c r="G42" s="82"/>
      <c r="H42" s="82"/>
      <c r="I42" s="82"/>
      <c r="J42" s="96" t="s">
        <v>4</v>
      </c>
      <c r="K42" s="140">
        <f>-SUM(K23*C4)</f>
        <v>-39</v>
      </c>
      <c r="L42" s="140">
        <f t="shared" si="4"/>
        <v>-35.779816513761467</v>
      </c>
      <c r="M42" s="142">
        <f t="shared" si="5"/>
        <v>-3.2201834862385321</v>
      </c>
      <c r="N42" s="82"/>
      <c r="O42" s="96" t="s">
        <v>4</v>
      </c>
      <c r="P42" s="140">
        <f>-SUM(C4*P23)</f>
        <v>-250</v>
      </c>
      <c r="Q42" s="140">
        <f t="shared" si="6"/>
        <v>-229.35779816513761</v>
      </c>
      <c r="R42" s="142">
        <f>$P$27*(+P42/(1+$P$27))</f>
        <v>-20.642201834862384</v>
      </c>
      <c r="S42" s="82"/>
      <c r="T42" s="82"/>
      <c r="U42" s="82"/>
      <c r="V42" s="82"/>
      <c r="W42" s="82"/>
      <c r="X42" s="82"/>
      <c r="Y42" s="82"/>
      <c r="Z42" s="82"/>
    </row>
    <row r="43" spans="1:26" ht="15.6" x14ac:dyDescent="0.3">
      <c r="A43" s="82"/>
      <c r="B43" s="96" t="s">
        <v>51</v>
      </c>
      <c r="C43" s="140">
        <f t="shared" ref="C43:E43" si="8">SUM(C41:C42)</f>
        <v>5271</v>
      </c>
      <c r="D43" s="140">
        <f t="shared" si="8"/>
        <v>4606.4220183486241</v>
      </c>
      <c r="E43" s="142">
        <f t="shared" si="8"/>
        <v>414.57798165137604</v>
      </c>
      <c r="F43" s="82"/>
      <c r="G43" s="82"/>
      <c r="H43" s="82"/>
      <c r="I43" s="82"/>
      <c r="J43" s="96" t="s">
        <v>51</v>
      </c>
      <c r="K43" s="140">
        <f t="shared" ref="K43:M43" si="9">SUM(K41:K42)</f>
        <v>471</v>
      </c>
      <c r="L43" s="140">
        <f t="shared" si="9"/>
        <v>432.11009174311926</v>
      </c>
      <c r="M43" s="142">
        <f t="shared" si="9"/>
        <v>38.88990825688073</v>
      </c>
      <c r="N43" s="82"/>
      <c r="O43" s="96" t="s">
        <v>51</v>
      </c>
      <c r="P43" s="140">
        <f t="shared" ref="P43:R43" si="10">SUM(P41:P42)</f>
        <v>4550</v>
      </c>
      <c r="Q43" s="140">
        <f t="shared" si="10"/>
        <v>4174.3119266055046</v>
      </c>
      <c r="R43" s="142">
        <f t="shared" si="10"/>
        <v>375.68807339449535</v>
      </c>
      <c r="S43" s="82"/>
      <c r="T43" s="82"/>
      <c r="U43" s="82"/>
      <c r="V43" s="82"/>
      <c r="W43" s="82"/>
      <c r="X43" s="82"/>
      <c r="Y43" s="82"/>
      <c r="Z43" s="82"/>
    </row>
    <row r="44" spans="1:26" ht="15.6" x14ac:dyDescent="0.3">
      <c r="A44" s="82"/>
      <c r="B44" s="96" t="s">
        <v>38</v>
      </c>
      <c r="C44" s="140">
        <f t="shared" ref="C44:E44" si="11">SUM(K44,P44)</f>
        <v>-351.47</v>
      </c>
      <c r="D44" s="140">
        <f t="shared" si="11"/>
        <v>-322.44954128440367</v>
      </c>
      <c r="E44" s="142">
        <f t="shared" si="11"/>
        <v>-29.02045871559633</v>
      </c>
      <c r="F44" s="82"/>
      <c r="G44" s="82"/>
      <c r="H44" s="82"/>
      <c r="I44" s="82"/>
      <c r="J44" s="96" t="s">
        <v>38</v>
      </c>
      <c r="K44" s="140">
        <f>SUM(L44,M44)</f>
        <v>-32.97</v>
      </c>
      <c r="L44" s="140">
        <f>-(+L43*C72)</f>
        <v>-30.24770642201835</v>
      </c>
      <c r="M44" s="142">
        <f>L44*$K$27</f>
        <v>-2.7222935779816515</v>
      </c>
      <c r="N44" s="82"/>
      <c r="O44" s="96" t="s">
        <v>38</v>
      </c>
      <c r="P44" s="140">
        <f>SUM(Q44,R44)</f>
        <v>-318.5</v>
      </c>
      <c r="Q44" s="140">
        <f>-(+Q43*C72)</f>
        <v>-292.20183486238534</v>
      </c>
      <c r="R44" s="142">
        <f>Q44*$P$27</f>
        <v>-26.298165137614678</v>
      </c>
      <c r="S44" s="82"/>
      <c r="T44" s="82"/>
      <c r="U44" s="82"/>
      <c r="V44" s="82"/>
      <c r="W44" s="82"/>
      <c r="X44" s="82"/>
      <c r="Y44" s="82"/>
      <c r="Z44" s="82"/>
    </row>
    <row r="45" spans="1:26" ht="15.6" x14ac:dyDescent="0.3">
      <c r="A45" s="82"/>
      <c r="B45" s="155" t="s">
        <v>52</v>
      </c>
      <c r="C45" s="156">
        <f t="shared" ref="C45:E45" si="12">SUM(K45,P45)</f>
        <v>4669.53</v>
      </c>
      <c r="D45" s="156">
        <f t="shared" si="12"/>
        <v>4283.9724770642206</v>
      </c>
      <c r="E45" s="157">
        <f t="shared" si="12"/>
        <v>385.55752293577979</v>
      </c>
      <c r="F45" s="82"/>
      <c r="G45" s="82"/>
      <c r="H45" s="82"/>
      <c r="I45" s="82"/>
      <c r="J45" s="127" t="s">
        <v>52</v>
      </c>
      <c r="K45" s="128">
        <f t="shared" ref="K45:M45" si="13">SUM(K43,K44)</f>
        <v>438.03</v>
      </c>
      <c r="L45" s="128">
        <f t="shared" si="13"/>
        <v>401.86238532110093</v>
      </c>
      <c r="M45" s="158">
        <f t="shared" si="13"/>
        <v>36.167614678899078</v>
      </c>
      <c r="N45" s="82"/>
      <c r="O45" s="127" t="s">
        <v>52</v>
      </c>
      <c r="P45" s="128">
        <f t="shared" ref="P45:R45" si="14">SUM(P43,P44)</f>
        <v>4231.5</v>
      </c>
      <c r="Q45" s="128">
        <f t="shared" si="14"/>
        <v>3882.1100917431195</v>
      </c>
      <c r="R45" s="158">
        <f t="shared" si="14"/>
        <v>349.38990825688069</v>
      </c>
      <c r="S45" s="82"/>
      <c r="T45" s="82"/>
      <c r="U45" s="82"/>
      <c r="V45" s="82"/>
      <c r="W45" s="82"/>
      <c r="X45" s="82"/>
      <c r="Y45" s="82"/>
      <c r="Z45" s="82"/>
    </row>
    <row r="46" spans="1:26" ht="15.6" x14ac:dyDescent="0.3">
      <c r="A46" s="82"/>
      <c r="B46" s="100" t="s">
        <v>39</v>
      </c>
      <c r="C46" s="104">
        <f>SUM(D46+E46)</f>
        <v>0</v>
      </c>
      <c r="D46" s="104">
        <f>-SUM(C18)</f>
        <v>0</v>
      </c>
      <c r="E46" s="154">
        <f>SUM(D46)*C10</f>
        <v>0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5.6" x14ac:dyDescent="0.3">
      <c r="A47" s="82"/>
      <c r="B47" s="110" t="s">
        <v>53</v>
      </c>
      <c r="C47" s="111">
        <f t="shared" ref="C47:E47" si="15">SUM(C45:C46)</f>
        <v>4669.53</v>
      </c>
      <c r="D47" s="111">
        <f t="shared" si="15"/>
        <v>4283.9724770642206</v>
      </c>
      <c r="E47" s="111">
        <f t="shared" si="15"/>
        <v>385.55752293577979</v>
      </c>
      <c r="F47" s="82"/>
      <c r="G47" s="82"/>
      <c r="H47" s="82"/>
      <c r="I47" s="82"/>
      <c r="J47" s="82"/>
      <c r="K47" s="159"/>
      <c r="L47" s="159"/>
      <c r="M47" s="159"/>
      <c r="N47" s="82"/>
      <c r="O47" s="82"/>
      <c r="P47" s="159"/>
      <c r="Q47" s="159"/>
      <c r="R47" s="159"/>
      <c r="S47" s="82"/>
      <c r="T47" s="82"/>
      <c r="U47" s="82"/>
      <c r="V47" s="82"/>
      <c r="W47" s="82"/>
      <c r="X47" s="82"/>
      <c r="Y47" s="82"/>
      <c r="Z47" s="82"/>
    </row>
    <row r="48" spans="1:26" ht="15.6" x14ac:dyDescent="0.3">
      <c r="A48" s="82"/>
      <c r="B48" s="82"/>
      <c r="C48" s="115" t="s">
        <v>42</v>
      </c>
      <c r="D48" s="160">
        <f t="shared" ref="D48:E48" si="16">IF(D47&lt;0,0,D47)</f>
        <v>4283.9724770642206</v>
      </c>
      <c r="E48" s="160">
        <f t="shared" si="16"/>
        <v>385.55752293577979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5.6" x14ac:dyDescent="0.3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25.8" x14ac:dyDescent="0.5">
      <c r="A50" s="82"/>
      <c r="B50" s="161" t="s">
        <v>54</v>
      </c>
      <c r="C50" s="162"/>
      <c r="D50" s="162"/>
      <c r="E50" s="162"/>
      <c r="F50" s="162"/>
      <c r="G50" s="162"/>
      <c r="H50" s="16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5.6" x14ac:dyDescent="0.3">
      <c r="A51" s="82"/>
      <c r="B51" s="163" t="s">
        <v>1</v>
      </c>
      <c r="C51" s="164" t="s">
        <v>55</v>
      </c>
      <c r="D51" s="164" t="s">
        <v>56</v>
      </c>
      <c r="E51" s="164" t="s">
        <v>57</v>
      </c>
      <c r="F51" s="164" t="s">
        <v>58</v>
      </c>
      <c r="G51" s="164" t="s">
        <v>59</v>
      </c>
      <c r="H51" s="165" t="s">
        <v>60</v>
      </c>
      <c r="I51" s="166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5.6" x14ac:dyDescent="0.3">
      <c r="A52" s="82"/>
      <c r="B52" s="89" t="s">
        <v>61</v>
      </c>
      <c r="C52" s="90">
        <f t="shared" ref="C52:C55" si="17">+D12</f>
        <v>0</v>
      </c>
      <c r="D52" s="90">
        <f>+D48</f>
        <v>4283.9724770642206</v>
      </c>
      <c r="E52" s="90">
        <f t="shared" ref="E52:E56" si="18">IF(D52&gt;C52,+C52,D52)</f>
        <v>0</v>
      </c>
      <c r="F52" s="90">
        <f t="shared" ref="F52:F56" si="19">ROUND(+E52*C12,2)</f>
        <v>0</v>
      </c>
      <c r="G52" s="90">
        <f t="shared" ref="G52:G56" si="20">+E52-F52</f>
        <v>0</v>
      </c>
      <c r="H52" s="139">
        <f t="shared" ref="H52:H57" si="21">IF(+D52-F52-G52&lt;0,0,+D52-F52-G52)</f>
        <v>4283.9724770642206</v>
      </c>
      <c r="I52" s="167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5.6" x14ac:dyDescent="0.3">
      <c r="A53" s="82"/>
      <c r="B53" s="100" t="s">
        <v>62</v>
      </c>
      <c r="C53" s="104">
        <f t="shared" si="17"/>
        <v>0</v>
      </c>
      <c r="D53" s="104">
        <f t="shared" ref="D53:D57" si="22">+H52</f>
        <v>4283.9724770642206</v>
      </c>
      <c r="E53" s="104">
        <f t="shared" si="18"/>
        <v>0</v>
      </c>
      <c r="F53" s="104">
        <f t="shared" si="19"/>
        <v>0</v>
      </c>
      <c r="G53" s="104">
        <f t="shared" si="20"/>
        <v>0</v>
      </c>
      <c r="H53" s="154">
        <f t="shared" si="21"/>
        <v>4283.9724770642206</v>
      </c>
      <c r="I53" s="167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5.6" x14ac:dyDescent="0.3">
      <c r="A54" s="82"/>
      <c r="B54" s="100" t="s">
        <v>63</v>
      </c>
      <c r="C54" s="104">
        <f t="shared" si="17"/>
        <v>0</v>
      </c>
      <c r="D54" s="104">
        <f t="shared" si="22"/>
        <v>4283.9724770642206</v>
      </c>
      <c r="E54" s="104">
        <f t="shared" si="18"/>
        <v>0</v>
      </c>
      <c r="F54" s="104">
        <f t="shared" si="19"/>
        <v>0</v>
      </c>
      <c r="G54" s="104">
        <f t="shared" si="20"/>
        <v>0</v>
      </c>
      <c r="H54" s="154">
        <f t="shared" si="21"/>
        <v>4283.9724770642206</v>
      </c>
      <c r="I54" s="16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6" x14ac:dyDescent="0.3">
      <c r="A55" s="82"/>
      <c r="B55" s="100" t="s">
        <v>64</v>
      </c>
      <c r="C55" s="104">
        <f t="shared" si="17"/>
        <v>0</v>
      </c>
      <c r="D55" s="104">
        <f t="shared" si="22"/>
        <v>4283.9724770642206</v>
      </c>
      <c r="E55" s="104">
        <f t="shared" si="18"/>
        <v>0</v>
      </c>
      <c r="F55" s="104">
        <f t="shared" si="19"/>
        <v>0</v>
      </c>
      <c r="G55" s="104">
        <f t="shared" si="20"/>
        <v>0</v>
      </c>
      <c r="H55" s="154">
        <f t="shared" si="21"/>
        <v>4283.9724770642206</v>
      </c>
      <c r="I55" s="167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5.6" x14ac:dyDescent="0.3">
      <c r="A56" s="82"/>
      <c r="B56" s="100"/>
      <c r="C56" s="101">
        <f>IF(+D16&lt;&gt;0,+D16,10000000)</f>
        <v>10000000</v>
      </c>
      <c r="D56" s="104">
        <f t="shared" si="22"/>
        <v>4283.9724770642206</v>
      </c>
      <c r="E56" s="104">
        <f t="shared" si="18"/>
        <v>4283.9724770642206</v>
      </c>
      <c r="F56" s="104">
        <f t="shared" si="19"/>
        <v>3212.98</v>
      </c>
      <c r="G56" s="104">
        <f t="shared" si="20"/>
        <v>1070.9924770642206</v>
      </c>
      <c r="H56" s="154">
        <f t="shared" si="21"/>
        <v>0</v>
      </c>
      <c r="I56" s="167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5.6" x14ac:dyDescent="0.3">
      <c r="A57" s="82"/>
      <c r="B57" s="100"/>
      <c r="C57" s="104">
        <f>SUM(C52:C56)</f>
        <v>10000000</v>
      </c>
      <c r="D57" s="104">
        <f t="shared" si="22"/>
        <v>0</v>
      </c>
      <c r="E57" s="168">
        <f t="shared" ref="E57:G57" si="23">SUM(E52:E56)</f>
        <v>4283.9724770642206</v>
      </c>
      <c r="F57" s="168">
        <f t="shared" si="23"/>
        <v>3212.98</v>
      </c>
      <c r="G57" s="168">
        <f t="shared" si="23"/>
        <v>1070.9924770642206</v>
      </c>
      <c r="H57" s="154">
        <f t="shared" si="21"/>
        <v>0</v>
      </c>
      <c r="I57" s="167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5.6" x14ac:dyDescent="0.3">
      <c r="A58" s="82"/>
      <c r="B58" s="110"/>
      <c r="C58" s="112"/>
      <c r="D58" s="112"/>
      <c r="E58" s="112"/>
      <c r="F58" s="112" t="str">
        <f>IF(+G57+F57=E57,"OK","Fout")</f>
        <v>OK</v>
      </c>
      <c r="G58" s="112" t="str">
        <f>IF(+G57+F57=D48,"OK","Fout")</f>
        <v>OK</v>
      </c>
      <c r="H58" s="113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25.8" x14ac:dyDescent="0.5">
      <c r="A59" s="82"/>
      <c r="B59" s="84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25.8" x14ac:dyDescent="0.5">
      <c r="A60" s="82"/>
      <c r="B60" s="84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25.8" x14ac:dyDescent="0.5">
      <c r="A61" s="82"/>
      <c r="B61" s="84" t="s">
        <v>65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6" x14ac:dyDescent="0.3">
      <c r="A62" s="82"/>
      <c r="B62" s="115" t="s">
        <v>66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5.6" x14ac:dyDescent="0.3">
      <c r="A63" s="82"/>
      <c r="B63" s="117" t="s">
        <v>67</v>
      </c>
      <c r="C63" s="152">
        <f>D43</f>
        <v>4606.4220183486241</v>
      </c>
      <c r="D63" s="119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.6" x14ac:dyDescent="0.3">
      <c r="A64" s="82"/>
      <c r="B64" s="96" t="s">
        <v>68</v>
      </c>
      <c r="C64" s="140">
        <f>+C77</f>
        <v>1000</v>
      </c>
      <c r="D64" s="99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5.6" x14ac:dyDescent="0.3">
      <c r="A65" s="82"/>
      <c r="B65" s="96" t="s">
        <v>69</v>
      </c>
      <c r="C65" s="169">
        <f>IF(+C64-C63&gt;0,+C64-C63,0)</f>
        <v>0</v>
      </c>
      <c r="D65" s="99" t="s">
        <v>70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5.6" x14ac:dyDescent="0.3">
      <c r="A66" s="82"/>
      <c r="B66" s="96" t="str">
        <f>IF(+C65&gt;0,"AR herrekening","Geen AR herrekening")</f>
        <v>Geen AR herrekening</v>
      </c>
      <c r="C66" s="98">
        <f>IF(+C65&gt;0,+ROUND(+C64*C6,2),0)</f>
        <v>0</v>
      </c>
      <c r="D66" s="99" t="s">
        <v>71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6" x14ac:dyDescent="0.3">
      <c r="A67" s="82"/>
      <c r="B67" s="96" t="s">
        <v>72</v>
      </c>
      <c r="C67" s="140">
        <f>E33</f>
        <v>322.44954128440367</v>
      </c>
      <c r="D67" s="99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6" x14ac:dyDescent="0.3">
      <c r="A68" s="82"/>
      <c r="B68" s="127" t="s">
        <v>73</v>
      </c>
      <c r="C68" s="128">
        <f>IF(C65&gt;0,+C66-C67,0)</f>
        <v>0</v>
      </c>
      <c r="D68" s="129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6" x14ac:dyDescent="0.3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5.6" x14ac:dyDescent="0.3">
      <c r="A70" s="82"/>
      <c r="B70" s="115" t="s">
        <v>74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5.6" x14ac:dyDescent="0.3">
      <c r="A71" s="82"/>
      <c r="B71" s="117" t="s">
        <v>4</v>
      </c>
      <c r="C71" s="152">
        <f>+C23*(C4/1.06)</f>
        <v>36.792452830188672</v>
      </c>
      <c r="D71" s="118"/>
      <c r="E71" s="201"/>
      <c r="F71" s="118"/>
      <c r="G71" s="118"/>
      <c r="H71" s="118"/>
      <c r="I71" s="118"/>
      <c r="J71" s="118"/>
      <c r="K71" s="202"/>
      <c r="L71" s="118"/>
      <c r="M71" s="118"/>
      <c r="N71" s="118"/>
      <c r="O71" s="118"/>
      <c r="P71" s="202"/>
      <c r="Q71" s="118"/>
      <c r="R71" s="119"/>
      <c r="S71" s="82"/>
      <c r="T71" s="82"/>
      <c r="U71" s="82"/>
      <c r="V71" s="82"/>
      <c r="W71" s="82"/>
      <c r="X71" s="82"/>
      <c r="Y71" s="82"/>
      <c r="Z71" s="82"/>
    </row>
    <row r="72" spans="1:26" ht="15.6" x14ac:dyDescent="0.3">
      <c r="A72" s="82"/>
      <c r="B72" s="96" t="s">
        <v>75</v>
      </c>
      <c r="C72" s="172">
        <f>IF(C7="j",+C6/(1+C6),+C6)</f>
        <v>7.0000000000000007E-2</v>
      </c>
      <c r="D72" s="98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173"/>
      <c r="S72" s="82"/>
      <c r="T72" s="82"/>
      <c r="U72" s="82"/>
      <c r="V72" s="82"/>
      <c r="W72" s="82"/>
      <c r="X72" s="82"/>
      <c r="Y72" s="82"/>
      <c r="Z72" s="82"/>
    </row>
    <row r="73" spans="1:26" ht="15.6" x14ac:dyDescent="0.3">
      <c r="A73" s="82"/>
      <c r="B73" s="96" t="s">
        <v>76</v>
      </c>
      <c r="C73" s="140">
        <f>SUM(K73,P73)</f>
        <v>438.44</v>
      </c>
      <c r="D73" s="98"/>
      <c r="E73" s="174"/>
      <c r="F73" s="98"/>
      <c r="G73" s="98"/>
      <c r="H73" s="98"/>
      <c r="I73" s="98"/>
      <c r="J73" s="98"/>
      <c r="K73" s="141">
        <f>ROUND(K27*(+K26/(1+K27)),2)</f>
        <v>42.11</v>
      </c>
      <c r="L73" s="98"/>
      <c r="M73" s="98"/>
      <c r="N73" s="98"/>
      <c r="O73" s="98"/>
      <c r="P73" s="141">
        <f>ROUND(P27*(+P26/(1+P27)),2)</f>
        <v>396.33</v>
      </c>
      <c r="Q73" s="98"/>
      <c r="R73" s="99"/>
      <c r="S73" s="82"/>
      <c r="T73" s="82"/>
      <c r="U73" s="82"/>
      <c r="V73" s="82"/>
      <c r="W73" s="82"/>
      <c r="X73" s="82"/>
      <c r="Y73" s="82"/>
      <c r="Z73" s="82"/>
    </row>
    <row r="74" spans="1:26" ht="15.6" x14ac:dyDescent="0.3">
      <c r="A74" s="82"/>
      <c r="B74" s="127" t="s">
        <v>77</v>
      </c>
      <c r="C74" s="175" t="str">
        <f>IF(C7="J","10/110","10/100")</f>
        <v>10/100</v>
      </c>
      <c r="D74" s="176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8"/>
      <c r="S74" s="82"/>
      <c r="T74" s="82"/>
      <c r="U74" s="82"/>
      <c r="V74" s="82"/>
      <c r="W74" s="82"/>
      <c r="X74" s="82"/>
      <c r="Y74" s="82"/>
      <c r="Z74" s="82"/>
    </row>
    <row r="75" spans="1:26" ht="15.6" x14ac:dyDescent="0.3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5.6" x14ac:dyDescent="0.3">
      <c r="A76" s="82"/>
      <c r="B76" s="115" t="s">
        <v>78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6" x14ac:dyDescent="0.3">
      <c r="A77" s="82"/>
      <c r="B77" s="117" t="s">
        <v>79</v>
      </c>
      <c r="C77" s="152">
        <f>IF(C8&gt;0,C8,C9)</f>
        <v>1000</v>
      </c>
      <c r="D77" s="119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6" x14ac:dyDescent="0.3">
      <c r="A78" s="82"/>
      <c r="B78" s="127" t="s">
        <v>80</v>
      </c>
      <c r="C78" s="175" t="str">
        <f>IF(C8&gt;0,"aanbieder","afnemer")</f>
        <v>aanbieder</v>
      </c>
      <c r="D78" s="129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5.6" x14ac:dyDescent="0.3">
      <c r="A79" s="82"/>
      <c r="B79" s="179"/>
      <c r="C79" s="179"/>
      <c r="D79" s="179"/>
      <c r="E79" s="179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5.6" x14ac:dyDescent="0.3">
      <c r="A80" s="82"/>
      <c r="B80" s="115" t="s">
        <v>81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5.6" x14ac:dyDescent="0.3">
      <c r="A81" s="82"/>
      <c r="B81" s="180"/>
      <c r="C81" s="181" t="s">
        <v>58</v>
      </c>
      <c r="D81" s="182" t="s">
        <v>59</v>
      </c>
      <c r="E81" s="115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5.6" x14ac:dyDescent="0.3">
      <c r="A82" s="82"/>
      <c r="B82" s="183" t="s">
        <v>82</v>
      </c>
      <c r="C82" s="140">
        <f t="shared" ref="C82:D82" si="24">F57</f>
        <v>3212.98</v>
      </c>
      <c r="D82" s="142">
        <f t="shared" si="24"/>
        <v>1070.9924770642206</v>
      </c>
      <c r="E82" s="167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6" x14ac:dyDescent="0.3">
      <c r="A83" s="82"/>
      <c r="B83" s="183" t="s">
        <v>83</v>
      </c>
      <c r="C83" s="140">
        <f>IF(C78="aanbieder",C77,0)</f>
        <v>1000</v>
      </c>
      <c r="D83" s="142">
        <f>IF(C78="afnemer",C77,0)</f>
        <v>0</v>
      </c>
      <c r="E83" s="167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6" x14ac:dyDescent="0.3">
      <c r="A84" s="82"/>
      <c r="B84" s="183" t="s">
        <v>84</v>
      </c>
      <c r="C84" s="140">
        <f t="shared" ref="C84:D84" si="25">C82-C83</f>
        <v>2212.98</v>
      </c>
      <c r="D84" s="142">
        <f t="shared" si="25"/>
        <v>1070.9924770642206</v>
      </c>
      <c r="E84" s="184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6" x14ac:dyDescent="0.3">
      <c r="A85" s="82"/>
      <c r="B85" s="185" t="s">
        <v>85</v>
      </c>
      <c r="C85" s="186" t="b">
        <f>IF(C84&lt;0,TRUE,FALSE)</f>
        <v>0</v>
      </c>
      <c r="D85" s="186" t="b">
        <f>IF(D84&lt;-0.01,TRUE,FALSE)</f>
        <v>0</v>
      </c>
      <c r="E85" s="115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5.6" x14ac:dyDescent="0.3">
      <c r="A86" s="82"/>
      <c r="B86" s="96" t="s">
        <v>86</v>
      </c>
      <c r="C86" s="98" t="b">
        <f>AND(C85=FALSE,D85=FALSE)</f>
        <v>1</v>
      </c>
      <c r="D86" s="99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5.6" x14ac:dyDescent="0.3">
      <c r="A87" s="82"/>
      <c r="B87" s="96"/>
      <c r="C87" s="98"/>
      <c r="D87" s="99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5.6" x14ac:dyDescent="0.3">
      <c r="A88" s="82"/>
      <c r="B88" s="96" t="s">
        <v>87</v>
      </c>
      <c r="C88" s="203">
        <f>IF(C86=TRUE,C82,(IF(C85=TRUE,C83,D48-D83)))</f>
        <v>3212.98</v>
      </c>
      <c r="D88" s="99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5.6" x14ac:dyDescent="0.3">
      <c r="A89" s="82"/>
      <c r="B89" s="96" t="s">
        <v>88</v>
      </c>
      <c r="C89" s="203">
        <f>IF(C86=TRUE,D82,(IF(D85=TRUE,D83,D48-C83)))</f>
        <v>1070.9924770642206</v>
      </c>
      <c r="D89" s="99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6" x14ac:dyDescent="0.3">
      <c r="A90" s="82"/>
      <c r="B90" s="96" t="s">
        <v>89</v>
      </c>
      <c r="C90" s="98"/>
      <c r="D90" s="99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5.6" x14ac:dyDescent="0.3">
      <c r="A91" s="82"/>
      <c r="B91" s="96" t="s">
        <v>90</v>
      </c>
      <c r="C91" s="140">
        <f>IF(C78="aanbieder",F56-C8)</f>
        <v>2212.98</v>
      </c>
      <c r="D91" s="142">
        <f t="shared" ref="D91:D92" si="26">IF(C91=FALSE,0,C91)</f>
        <v>2212.98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6" x14ac:dyDescent="0.3">
      <c r="A92" s="82"/>
      <c r="B92" s="127"/>
      <c r="C92" s="176" t="b">
        <f>IF(C78="afnemer",G56-C9)</f>
        <v>0</v>
      </c>
      <c r="D92" s="129">
        <f t="shared" si="26"/>
        <v>0</v>
      </c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5.6" x14ac:dyDescent="0.3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5.6" x14ac:dyDescent="0.3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5.6" x14ac:dyDescent="0.3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5.6" x14ac:dyDescent="0.3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6" x14ac:dyDescent="0.3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6" x14ac:dyDescent="0.3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6" x14ac:dyDescent="0.3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6" x14ac:dyDescent="0.3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5.6" x14ac:dyDescent="0.3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5.6" x14ac:dyDescent="0.3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5.6" x14ac:dyDescent="0.3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5.6" x14ac:dyDescent="0.3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5.6" x14ac:dyDescent="0.3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5.6" x14ac:dyDescent="0.3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5.6" x14ac:dyDescent="0.3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5.6" x14ac:dyDescent="0.3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5.6" x14ac:dyDescent="0.3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5.6" x14ac:dyDescent="0.3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5.6" x14ac:dyDescent="0.3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5.6" x14ac:dyDescent="0.3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5.6" x14ac:dyDescent="0.3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5.6" x14ac:dyDescent="0.3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5.6" x14ac:dyDescent="0.3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5.6" x14ac:dyDescent="0.3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5.6" x14ac:dyDescent="0.3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5.6" x14ac:dyDescent="0.3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5.6" x14ac:dyDescent="0.3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5.6" x14ac:dyDescent="0.3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5.6" x14ac:dyDescent="0.3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.6" x14ac:dyDescent="0.3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.6" x14ac:dyDescent="0.3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.6" x14ac:dyDescent="0.3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.6" x14ac:dyDescent="0.3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.6" x14ac:dyDescent="0.3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.6" x14ac:dyDescent="0.3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.6" x14ac:dyDescent="0.3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.6" x14ac:dyDescent="0.3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.6" x14ac:dyDescent="0.3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.6" x14ac:dyDescent="0.3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.6" x14ac:dyDescent="0.3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.6" x14ac:dyDescent="0.3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.6" x14ac:dyDescent="0.3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.6" x14ac:dyDescent="0.3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.6" x14ac:dyDescent="0.3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.6" x14ac:dyDescent="0.3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.6" x14ac:dyDescent="0.3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.6" x14ac:dyDescent="0.3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.6" x14ac:dyDescent="0.3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.6" x14ac:dyDescent="0.3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.6" x14ac:dyDescent="0.3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.6" x14ac:dyDescent="0.3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.6" x14ac:dyDescent="0.3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.6" x14ac:dyDescent="0.3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.6" x14ac:dyDescent="0.3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.6" x14ac:dyDescent="0.3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.6" x14ac:dyDescent="0.3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.6" x14ac:dyDescent="0.3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.6" x14ac:dyDescent="0.3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.6" x14ac:dyDescent="0.3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.6" x14ac:dyDescent="0.3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.6" x14ac:dyDescent="0.3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.6" x14ac:dyDescent="0.3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.6" x14ac:dyDescent="0.3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.6" x14ac:dyDescent="0.3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.6" x14ac:dyDescent="0.3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.6" x14ac:dyDescent="0.3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.6" x14ac:dyDescent="0.3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.6" x14ac:dyDescent="0.3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.6" x14ac:dyDescent="0.3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5.6" x14ac:dyDescent="0.3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5.6" x14ac:dyDescent="0.3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5.6" x14ac:dyDescent="0.3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5.6" x14ac:dyDescent="0.3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5.6" x14ac:dyDescent="0.3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5.6" x14ac:dyDescent="0.3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5.6" x14ac:dyDescent="0.3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5.6" x14ac:dyDescent="0.3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5.6" x14ac:dyDescent="0.3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5.6" x14ac:dyDescent="0.3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5.6" x14ac:dyDescent="0.3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5.6" x14ac:dyDescent="0.3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6" x14ac:dyDescent="0.3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5.6" x14ac:dyDescent="0.3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5.6" x14ac:dyDescent="0.3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5.6" x14ac:dyDescent="0.3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5.6" x14ac:dyDescent="0.3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5.6" x14ac:dyDescent="0.3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5.6" x14ac:dyDescent="0.3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5.6" x14ac:dyDescent="0.3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5.6" x14ac:dyDescent="0.3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5.6" x14ac:dyDescent="0.3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5.6" x14ac:dyDescent="0.3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5.6" x14ac:dyDescent="0.3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5.6" x14ac:dyDescent="0.3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5.6" x14ac:dyDescent="0.3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5.6" x14ac:dyDescent="0.3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5.6" x14ac:dyDescent="0.3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5.6" x14ac:dyDescent="0.3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5.6" x14ac:dyDescent="0.3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5.6" x14ac:dyDescent="0.3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5.6" x14ac:dyDescent="0.3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5.6" x14ac:dyDescent="0.3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5.6" x14ac:dyDescent="0.3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5.6" x14ac:dyDescent="0.3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5.6" x14ac:dyDescent="0.3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5.6" x14ac:dyDescent="0.3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5.6" x14ac:dyDescent="0.3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5.6" x14ac:dyDescent="0.3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5.6" x14ac:dyDescent="0.3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5.6" x14ac:dyDescent="0.3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5.6" x14ac:dyDescent="0.3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5.6" x14ac:dyDescent="0.3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5.6" x14ac:dyDescent="0.3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5.6" x14ac:dyDescent="0.3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5.6" x14ac:dyDescent="0.3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5.6" x14ac:dyDescent="0.3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5.6" x14ac:dyDescent="0.3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5.6" x14ac:dyDescent="0.3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5.6" x14ac:dyDescent="0.3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5.6" x14ac:dyDescent="0.3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5.6" x14ac:dyDescent="0.3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5.6" x14ac:dyDescent="0.3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5.6" x14ac:dyDescent="0.3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5.6" x14ac:dyDescent="0.3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5.6" x14ac:dyDescent="0.3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5.6" x14ac:dyDescent="0.3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5.6" x14ac:dyDescent="0.3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5.6" x14ac:dyDescent="0.3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5.6" x14ac:dyDescent="0.3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5.6" x14ac:dyDescent="0.3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5.6" x14ac:dyDescent="0.3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5.6" x14ac:dyDescent="0.3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5.6" x14ac:dyDescent="0.3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5.6" x14ac:dyDescent="0.3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5.6" x14ac:dyDescent="0.3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5.6" x14ac:dyDescent="0.3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5.6" x14ac:dyDescent="0.3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5.6" x14ac:dyDescent="0.3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5.6" x14ac:dyDescent="0.3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5.6" x14ac:dyDescent="0.3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5.6" x14ac:dyDescent="0.3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5.6" x14ac:dyDescent="0.3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5.6" x14ac:dyDescent="0.3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5.6" x14ac:dyDescent="0.3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5.6" x14ac:dyDescent="0.3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5.6" x14ac:dyDescent="0.3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5.6" x14ac:dyDescent="0.3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5.6" x14ac:dyDescent="0.3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5.6" x14ac:dyDescent="0.3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5.6" x14ac:dyDescent="0.3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5.6" x14ac:dyDescent="0.3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5.6" x14ac:dyDescent="0.3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5.6" x14ac:dyDescent="0.3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5.6" x14ac:dyDescent="0.3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5.6" x14ac:dyDescent="0.3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5.6" x14ac:dyDescent="0.3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5.6" x14ac:dyDescent="0.3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5.6" x14ac:dyDescent="0.3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5.6" x14ac:dyDescent="0.3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5.6" x14ac:dyDescent="0.3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5.6" x14ac:dyDescent="0.3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5.6" x14ac:dyDescent="0.3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5.6" x14ac:dyDescent="0.3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5.6" x14ac:dyDescent="0.3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5.6" x14ac:dyDescent="0.3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5.6" x14ac:dyDescent="0.3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5.6" x14ac:dyDescent="0.3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5.6" x14ac:dyDescent="0.3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5.6" x14ac:dyDescent="0.3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5.6" x14ac:dyDescent="0.3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5.6" x14ac:dyDescent="0.3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5.6" x14ac:dyDescent="0.3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5.6" x14ac:dyDescent="0.3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5.6" x14ac:dyDescent="0.3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5.6" x14ac:dyDescent="0.3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5.6" x14ac:dyDescent="0.3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5.6" x14ac:dyDescent="0.3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5.6" x14ac:dyDescent="0.3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5.6" x14ac:dyDescent="0.3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5.6" x14ac:dyDescent="0.3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5.6" x14ac:dyDescent="0.3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5.6" x14ac:dyDescent="0.3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5.6" x14ac:dyDescent="0.3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5.6" x14ac:dyDescent="0.3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5.6" x14ac:dyDescent="0.3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5.6" x14ac:dyDescent="0.3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5.6" x14ac:dyDescent="0.3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5.6" x14ac:dyDescent="0.3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5.6" x14ac:dyDescent="0.3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5.6" x14ac:dyDescent="0.3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5.6" x14ac:dyDescent="0.3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5.6" x14ac:dyDescent="0.3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5.6" x14ac:dyDescent="0.3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5.6" x14ac:dyDescent="0.3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5.6" x14ac:dyDescent="0.3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5.6" x14ac:dyDescent="0.3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5.6" x14ac:dyDescent="0.3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5.6" x14ac:dyDescent="0.3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5.6" x14ac:dyDescent="0.3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5.6" x14ac:dyDescent="0.3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5.6" x14ac:dyDescent="0.3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5.6" x14ac:dyDescent="0.3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5.6" x14ac:dyDescent="0.3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5.6" x14ac:dyDescent="0.3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5.6" x14ac:dyDescent="0.3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5.6" x14ac:dyDescent="0.3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5.6" x14ac:dyDescent="0.3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5.6" x14ac:dyDescent="0.3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5.6" x14ac:dyDescent="0.3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5.6" x14ac:dyDescent="0.3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5.6" x14ac:dyDescent="0.3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5.6" x14ac:dyDescent="0.3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5.6" x14ac:dyDescent="0.3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5.6" x14ac:dyDescent="0.3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5.6" x14ac:dyDescent="0.3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5.6" x14ac:dyDescent="0.3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5.6" x14ac:dyDescent="0.3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5.6" x14ac:dyDescent="0.3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5.6" x14ac:dyDescent="0.3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5.6" x14ac:dyDescent="0.3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5.6" x14ac:dyDescent="0.3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5.6" x14ac:dyDescent="0.3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5.6" x14ac:dyDescent="0.3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5.6" x14ac:dyDescent="0.3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5.6" x14ac:dyDescent="0.3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5.6" x14ac:dyDescent="0.3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5.6" x14ac:dyDescent="0.3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5.6" x14ac:dyDescent="0.3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5.6" x14ac:dyDescent="0.3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5.6" x14ac:dyDescent="0.3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5.6" x14ac:dyDescent="0.3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5.6" x14ac:dyDescent="0.3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5.6" x14ac:dyDescent="0.3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5.6" x14ac:dyDescent="0.3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5.6" x14ac:dyDescent="0.3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5.6" x14ac:dyDescent="0.3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5.6" x14ac:dyDescent="0.3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5.6" x14ac:dyDescent="0.3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5.6" x14ac:dyDescent="0.3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5.6" x14ac:dyDescent="0.3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5.6" x14ac:dyDescent="0.3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5.6" x14ac:dyDescent="0.3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5.6" x14ac:dyDescent="0.3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5.6" x14ac:dyDescent="0.3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5.6" x14ac:dyDescent="0.3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5.6" x14ac:dyDescent="0.3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5.6" x14ac:dyDescent="0.3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5.6" x14ac:dyDescent="0.3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5.6" x14ac:dyDescent="0.3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5.6" x14ac:dyDescent="0.3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5.6" x14ac:dyDescent="0.3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5.6" x14ac:dyDescent="0.3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5.6" x14ac:dyDescent="0.3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5.6" x14ac:dyDescent="0.3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5.6" x14ac:dyDescent="0.3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5.6" x14ac:dyDescent="0.3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5.6" x14ac:dyDescent="0.3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5.6" x14ac:dyDescent="0.3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5.6" x14ac:dyDescent="0.3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5.6" x14ac:dyDescent="0.3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5.6" x14ac:dyDescent="0.3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5.6" x14ac:dyDescent="0.3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5.6" x14ac:dyDescent="0.3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5.6" x14ac:dyDescent="0.3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5.6" x14ac:dyDescent="0.3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5.6" x14ac:dyDescent="0.3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5.6" x14ac:dyDescent="0.3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5.6" x14ac:dyDescent="0.3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5.6" x14ac:dyDescent="0.3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5.6" x14ac:dyDescent="0.3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5.6" x14ac:dyDescent="0.3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5.6" x14ac:dyDescent="0.3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5.6" x14ac:dyDescent="0.3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5.6" x14ac:dyDescent="0.3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5.6" x14ac:dyDescent="0.3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5.6" x14ac:dyDescent="0.3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5.6" x14ac:dyDescent="0.3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5.6" x14ac:dyDescent="0.3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5.6" x14ac:dyDescent="0.3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5.6" x14ac:dyDescent="0.3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5.6" x14ac:dyDescent="0.3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5.6" x14ac:dyDescent="0.3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5.6" x14ac:dyDescent="0.3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5.6" x14ac:dyDescent="0.3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5.6" x14ac:dyDescent="0.3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5.6" x14ac:dyDescent="0.3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5.6" x14ac:dyDescent="0.3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5.6" x14ac:dyDescent="0.3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5.6" x14ac:dyDescent="0.3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5.6" x14ac:dyDescent="0.3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5.6" x14ac:dyDescent="0.3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5.6" x14ac:dyDescent="0.3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5.6" x14ac:dyDescent="0.3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5.6" x14ac:dyDescent="0.3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5.6" x14ac:dyDescent="0.3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5.6" x14ac:dyDescent="0.3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5.6" x14ac:dyDescent="0.3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5.6" x14ac:dyDescent="0.3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5.6" x14ac:dyDescent="0.3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5.6" x14ac:dyDescent="0.3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5.6" x14ac:dyDescent="0.3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5.6" x14ac:dyDescent="0.3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5.6" x14ac:dyDescent="0.3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5.6" x14ac:dyDescent="0.3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5.6" x14ac:dyDescent="0.3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5.6" x14ac:dyDescent="0.3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5.6" x14ac:dyDescent="0.3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5.6" x14ac:dyDescent="0.3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5.6" x14ac:dyDescent="0.3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5.6" x14ac:dyDescent="0.3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5.6" x14ac:dyDescent="0.3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5.6" x14ac:dyDescent="0.3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5.6" x14ac:dyDescent="0.3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5.6" x14ac:dyDescent="0.3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5.6" x14ac:dyDescent="0.3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5.6" x14ac:dyDescent="0.3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5.6" x14ac:dyDescent="0.3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5.6" x14ac:dyDescent="0.3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5.6" x14ac:dyDescent="0.3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5.6" x14ac:dyDescent="0.3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5.6" x14ac:dyDescent="0.3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5.6" x14ac:dyDescent="0.3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5.6" x14ac:dyDescent="0.3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5.6" x14ac:dyDescent="0.3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5.6" x14ac:dyDescent="0.3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5.6" x14ac:dyDescent="0.3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5.6" x14ac:dyDescent="0.3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5.6" x14ac:dyDescent="0.3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5.6" x14ac:dyDescent="0.3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5.6" x14ac:dyDescent="0.3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5.6" x14ac:dyDescent="0.3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5.6" x14ac:dyDescent="0.3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5.6" x14ac:dyDescent="0.3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5.6" x14ac:dyDescent="0.3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5.6" x14ac:dyDescent="0.3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5.6" x14ac:dyDescent="0.3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5.6" x14ac:dyDescent="0.3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5.6" x14ac:dyDescent="0.3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5.6" x14ac:dyDescent="0.3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5.6" x14ac:dyDescent="0.3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5.6" x14ac:dyDescent="0.3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5.6" x14ac:dyDescent="0.3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5.6" x14ac:dyDescent="0.3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5.6" x14ac:dyDescent="0.3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5.6" x14ac:dyDescent="0.3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5.6" x14ac:dyDescent="0.3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5.6" x14ac:dyDescent="0.3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5.6" x14ac:dyDescent="0.3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5.6" x14ac:dyDescent="0.3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5.6" x14ac:dyDescent="0.3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5.6" x14ac:dyDescent="0.3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5.6" x14ac:dyDescent="0.3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5.6" x14ac:dyDescent="0.3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5.6" x14ac:dyDescent="0.3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5.6" x14ac:dyDescent="0.3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5.6" x14ac:dyDescent="0.3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5.6" x14ac:dyDescent="0.3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5.6" x14ac:dyDescent="0.3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5.6" x14ac:dyDescent="0.3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5.6" x14ac:dyDescent="0.3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5.6" x14ac:dyDescent="0.3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5.6" x14ac:dyDescent="0.3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5.6" x14ac:dyDescent="0.3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5.6" x14ac:dyDescent="0.3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5.6" x14ac:dyDescent="0.3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5.6" x14ac:dyDescent="0.3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5.6" x14ac:dyDescent="0.3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5.6" x14ac:dyDescent="0.3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5.6" x14ac:dyDescent="0.3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5.6" x14ac:dyDescent="0.3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5.6" x14ac:dyDescent="0.3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5.6" x14ac:dyDescent="0.3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5.6" x14ac:dyDescent="0.3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5.6" x14ac:dyDescent="0.3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5.6" x14ac:dyDescent="0.3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5.6" x14ac:dyDescent="0.3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5.6" x14ac:dyDescent="0.3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5.6" x14ac:dyDescent="0.3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5.6" x14ac:dyDescent="0.3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5.6" x14ac:dyDescent="0.3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5.6" x14ac:dyDescent="0.3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5.6" x14ac:dyDescent="0.3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5.6" x14ac:dyDescent="0.3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5.6" x14ac:dyDescent="0.3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5.6" x14ac:dyDescent="0.3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5.6" x14ac:dyDescent="0.3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5.6" x14ac:dyDescent="0.3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5.6" x14ac:dyDescent="0.3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5.6" x14ac:dyDescent="0.3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5.6" x14ac:dyDescent="0.3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5.6" x14ac:dyDescent="0.3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5.6" x14ac:dyDescent="0.3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5.6" x14ac:dyDescent="0.3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5.6" x14ac:dyDescent="0.3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5.6" x14ac:dyDescent="0.3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5.6" x14ac:dyDescent="0.3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5.6" x14ac:dyDescent="0.3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5.6" x14ac:dyDescent="0.3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5.6" x14ac:dyDescent="0.3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5.6" x14ac:dyDescent="0.3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5.6" x14ac:dyDescent="0.3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5.6" x14ac:dyDescent="0.3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5.6" x14ac:dyDescent="0.3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5.6" x14ac:dyDescent="0.3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5.6" x14ac:dyDescent="0.3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5.6" x14ac:dyDescent="0.3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5.6" x14ac:dyDescent="0.3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5.6" x14ac:dyDescent="0.3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5.6" x14ac:dyDescent="0.3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5.6" x14ac:dyDescent="0.3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5.6" x14ac:dyDescent="0.3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5.6" x14ac:dyDescent="0.3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5.6" x14ac:dyDescent="0.3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5.6" x14ac:dyDescent="0.3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5.6" x14ac:dyDescent="0.3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5.6" x14ac:dyDescent="0.3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5.6" x14ac:dyDescent="0.3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5.6" x14ac:dyDescent="0.3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5.6" x14ac:dyDescent="0.3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15.6" x14ac:dyDescent="0.3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15.6" x14ac:dyDescent="0.3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5.6" x14ac:dyDescent="0.3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5.6" x14ac:dyDescent="0.3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5.6" x14ac:dyDescent="0.3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5.6" x14ac:dyDescent="0.3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5.6" x14ac:dyDescent="0.3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5.6" x14ac:dyDescent="0.3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5.6" x14ac:dyDescent="0.3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5.6" x14ac:dyDescent="0.3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5.6" x14ac:dyDescent="0.3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5.6" x14ac:dyDescent="0.3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5.6" x14ac:dyDescent="0.3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5.6" x14ac:dyDescent="0.3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5.6" x14ac:dyDescent="0.3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5.6" x14ac:dyDescent="0.3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5.6" x14ac:dyDescent="0.3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5.6" x14ac:dyDescent="0.3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5.6" x14ac:dyDescent="0.3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5.6" x14ac:dyDescent="0.3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5.6" x14ac:dyDescent="0.3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5.6" x14ac:dyDescent="0.3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5.6" x14ac:dyDescent="0.3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5.6" x14ac:dyDescent="0.3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5.6" x14ac:dyDescent="0.3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5.6" x14ac:dyDescent="0.3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5.6" x14ac:dyDescent="0.3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5.6" x14ac:dyDescent="0.3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5.6" x14ac:dyDescent="0.3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5.6" x14ac:dyDescent="0.3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5.6" x14ac:dyDescent="0.3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5.6" x14ac:dyDescent="0.3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5.6" x14ac:dyDescent="0.3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5.6" x14ac:dyDescent="0.3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5.6" x14ac:dyDescent="0.3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5.6" x14ac:dyDescent="0.3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5.6" x14ac:dyDescent="0.3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5.6" x14ac:dyDescent="0.3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5.6" x14ac:dyDescent="0.3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5.6" x14ac:dyDescent="0.3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5.6" x14ac:dyDescent="0.3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15.6" x14ac:dyDescent="0.3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15.6" x14ac:dyDescent="0.3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15.6" x14ac:dyDescent="0.3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15.6" x14ac:dyDescent="0.3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15.6" x14ac:dyDescent="0.3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15.6" x14ac:dyDescent="0.3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15.6" x14ac:dyDescent="0.3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15.6" x14ac:dyDescent="0.3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15.6" x14ac:dyDescent="0.3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15.6" x14ac:dyDescent="0.3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15.6" x14ac:dyDescent="0.3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15.6" x14ac:dyDescent="0.3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15.6" x14ac:dyDescent="0.3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15.6" x14ac:dyDescent="0.3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15.6" x14ac:dyDescent="0.3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15.6" x14ac:dyDescent="0.3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15.6" x14ac:dyDescent="0.3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15.6" x14ac:dyDescent="0.3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15.6" x14ac:dyDescent="0.3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15.6" x14ac:dyDescent="0.3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15.6" x14ac:dyDescent="0.3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15.6" x14ac:dyDescent="0.3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15.6" x14ac:dyDescent="0.3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15.6" x14ac:dyDescent="0.3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15.6" x14ac:dyDescent="0.3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15.6" x14ac:dyDescent="0.3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15.6" x14ac:dyDescent="0.3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15.6" x14ac:dyDescent="0.3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15.6" x14ac:dyDescent="0.3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15.6" x14ac:dyDescent="0.3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15.6" x14ac:dyDescent="0.3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15.6" x14ac:dyDescent="0.3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15.6" x14ac:dyDescent="0.3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15.6" x14ac:dyDescent="0.3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15.6" x14ac:dyDescent="0.3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15.6" x14ac:dyDescent="0.3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15.6" x14ac:dyDescent="0.3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15.6" x14ac:dyDescent="0.3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15.6" x14ac:dyDescent="0.3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15.6" x14ac:dyDescent="0.3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15.6" x14ac:dyDescent="0.3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15.6" x14ac:dyDescent="0.3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15.6" x14ac:dyDescent="0.3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15.6" x14ac:dyDescent="0.3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15.6" x14ac:dyDescent="0.3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15.6" x14ac:dyDescent="0.3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15.6" x14ac:dyDescent="0.3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15.6" x14ac:dyDescent="0.3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15.6" x14ac:dyDescent="0.3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15.6" x14ac:dyDescent="0.3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15.6" x14ac:dyDescent="0.3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15.6" x14ac:dyDescent="0.3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15.6" x14ac:dyDescent="0.3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15.6" x14ac:dyDescent="0.3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15.6" x14ac:dyDescent="0.3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15.6" x14ac:dyDescent="0.3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15.6" x14ac:dyDescent="0.3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15.6" x14ac:dyDescent="0.3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15.6" x14ac:dyDescent="0.3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15.6" x14ac:dyDescent="0.3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15.6" x14ac:dyDescent="0.3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15.6" x14ac:dyDescent="0.3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15.6" x14ac:dyDescent="0.3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15.6" x14ac:dyDescent="0.3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15.6" x14ac:dyDescent="0.3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15.6" x14ac:dyDescent="0.3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15.6" x14ac:dyDescent="0.3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15.6" x14ac:dyDescent="0.3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15.6" x14ac:dyDescent="0.3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15.6" x14ac:dyDescent="0.3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15.6" x14ac:dyDescent="0.3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15.6" x14ac:dyDescent="0.3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15.6" x14ac:dyDescent="0.3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15.6" x14ac:dyDescent="0.3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15.6" x14ac:dyDescent="0.3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15.6" x14ac:dyDescent="0.3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15.6" x14ac:dyDescent="0.3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15.6" x14ac:dyDescent="0.3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15.6" x14ac:dyDescent="0.3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15.6" x14ac:dyDescent="0.3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15.6" x14ac:dyDescent="0.3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15.6" x14ac:dyDescent="0.3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15.6" x14ac:dyDescent="0.3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15.6" x14ac:dyDescent="0.3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15.6" x14ac:dyDescent="0.3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15.6" x14ac:dyDescent="0.3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15.6" x14ac:dyDescent="0.3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15.6" x14ac:dyDescent="0.3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15.6" x14ac:dyDescent="0.3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15.6" x14ac:dyDescent="0.3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15.6" x14ac:dyDescent="0.3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15.6" x14ac:dyDescent="0.3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15.6" x14ac:dyDescent="0.3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15.6" x14ac:dyDescent="0.3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15.6" x14ac:dyDescent="0.3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15.6" x14ac:dyDescent="0.3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15.6" x14ac:dyDescent="0.3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15.6" x14ac:dyDescent="0.3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15.6" x14ac:dyDescent="0.3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15.6" x14ac:dyDescent="0.3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15.6" x14ac:dyDescent="0.3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15.6" x14ac:dyDescent="0.3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15.6" x14ac:dyDescent="0.3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15.6" x14ac:dyDescent="0.3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15.6" x14ac:dyDescent="0.3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15.6" x14ac:dyDescent="0.3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15.6" x14ac:dyDescent="0.3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15.6" x14ac:dyDescent="0.3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15.6" x14ac:dyDescent="0.3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15.6" x14ac:dyDescent="0.3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15.6" x14ac:dyDescent="0.3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15.6" x14ac:dyDescent="0.3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15.6" x14ac:dyDescent="0.3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15.6" x14ac:dyDescent="0.3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15.6" x14ac:dyDescent="0.3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15.6" x14ac:dyDescent="0.3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15.6" x14ac:dyDescent="0.3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15.6" x14ac:dyDescent="0.3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15.6" x14ac:dyDescent="0.3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15.6" x14ac:dyDescent="0.3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15.6" x14ac:dyDescent="0.3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15.6" x14ac:dyDescent="0.3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15.6" x14ac:dyDescent="0.3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15.6" x14ac:dyDescent="0.3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15.6" x14ac:dyDescent="0.3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15.6" x14ac:dyDescent="0.3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15.6" x14ac:dyDescent="0.3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15.6" x14ac:dyDescent="0.3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15.6" x14ac:dyDescent="0.3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15.6" x14ac:dyDescent="0.3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15.6" x14ac:dyDescent="0.3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15.6" x14ac:dyDescent="0.3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15.6" x14ac:dyDescent="0.3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15.6" x14ac:dyDescent="0.3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15.6" x14ac:dyDescent="0.3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15.6" x14ac:dyDescent="0.3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15.6" x14ac:dyDescent="0.3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15.6" x14ac:dyDescent="0.3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15.6" x14ac:dyDescent="0.3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15.6" x14ac:dyDescent="0.3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15.6" x14ac:dyDescent="0.3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15.6" x14ac:dyDescent="0.3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15.6" x14ac:dyDescent="0.3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15.6" x14ac:dyDescent="0.3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15.6" x14ac:dyDescent="0.3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15.6" x14ac:dyDescent="0.3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15.6" x14ac:dyDescent="0.3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15.6" x14ac:dyDescent="0.3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15.6" x14ac:dyDescent="0.3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15.6" x14ac:dyDescent="0.3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15.6" x14ac:dyDescent="0.3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15.6" x14ac:dyDescent="0.3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15.6" x14ac:dyDescent="0.3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15.6" x14ac:dyDescent="0.3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15.6" x14ac:dyDescent="0.3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15.6" x14ac:dyDescent="0.3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15.6" x14ac:dyDescent="0.3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15.6" x14ac:dyDescent="0.3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15.6" x14ac:dyDescent="0.3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15.6" x14ac:dyDescent="0.3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15.6" x14ac:dyDescent="0.3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15.6" x14ac:dyDescent="0.3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15.6" x14ac:dyDescent="0.3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15.6" x14ac:dyDescent="0.3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15.6" x14ac:dyDescent="0.3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15.6" x14ac:dyDescent="0.3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15.6" x14ac:dyDescent="0.3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15.6" x14ac:dyDescent="0.3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15.6" x14ac:dyDescent="0.3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15.6" x14ac:dyDescent="0.3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15.6" x14ac:dyDescent="0.3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15.6" x14ac:dyDescent="0.3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15.6" x14ac:dyDescent="0.3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15.6" x14ac:dyDescent="0.3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15.6" x14ac:dyDescent="0.3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15.6" x14ac:dyDescent="0.3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15.6" x14ac:dyDescent="0.3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15.6" x14ac:dyDescent="0.3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15.6" x14ac:dyDescent="0.3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15.6" x14ac:dyDescent="0.3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15.6" x14ac:dyDescent="0.3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15.6" x14ac:dyDescent="0.3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15.6" x14ac:dyDescent="0.3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15.6" x14ac:dyDescent="0.3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15.6" x14ac:dyDescent="0.3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15.6" x14ac:dyDescent="0.3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15.6" x14ac:dyDescent="0.3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15.6" x14ac:dyDescent="0.3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15.6" x14ac:dyDescent="0.3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15.6" x14ac:dyDescent="0.3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15.6" x14ac:dyDescent="0.3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15.6" x14ac:dyDescent="0.3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15.6" x14ac:dyDescent="0.3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15.6" x14ac:dyDescent="0.3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15.6" x14ac:dyDescent="0.3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15.6" x14ac:dyDescent="0.3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15.6" x14ac:dyDescent="0.3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15.6" x14ac:dyDescent="0.3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15.6" x14ac:dyDescent="0.3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15.6" x14ac:dyDescent="0.3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15.6" x14ac:dyDescent="0.3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15.6" x14ac:dyDescent="0.3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15.6" x14ac:dyDescent="0.3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15.6" x14ac:dyDescent="0.3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15.6" x14ac:dyDescent="0.3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15.6" x14ac:dyDescent="0.3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15.6" x14ac:dyDescent="0.3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15.6" x14ac:dyDescent="0.3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15.6" x14ac:dyDescent="0.3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15.6" x14ac:dyDescent="0.3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15.6" x14ac:dyDescent="0.3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15.6" x14ac:dyDescent="0.3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15.6" x14ac:dyDescent="0.3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15.6" x14ac:dyDescent="0.3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15.6" x14ac:dyDescent="0.3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15.6" x14ac:dyDescent="0.3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15.6" x14ac:dyDescent="0.3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15.6" x14ac:dyDescent="0.3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15.6" x14ac:dyDescent="0.3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15.6" x14ac:dyDescent="0.3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15.6" x14ac:dyDescent="0.3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15.6" x14ac:dyDescent="0.3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15.6" x14ac:dyDescent="0.3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15.6" x14ac:dyDescent="0.3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15.6" x14ac:dyDescent="0.3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15.6" x14ac:dyDescent="0.3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15.6" x14ac:dyDescent="0.3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15.6" x14ac:dyDescent="0.3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15.6" x14ac:dyDescent="0.3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15.6" x14ac:dyDescent="0.3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15.6" x14ac:dyDescent="0.3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15.6" x14ac:dyDescent="0.3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15.6" x14ac:dyDescent="0.3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15.6" x14ac:dyDescent="0.3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15.6" x14ac:dyDescent="0.3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15.6" x14ac:dyDescent="0.3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15.6" x14ac:dyDescent="0.3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15.6" x14ac:dyDescent="0.3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15.6" x14ac:dyDescent="0.3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15.6" x14ac:dyDescent="0.3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15.6" x14ac:dyDescent="0.3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15.6" x14ac:dyDescent="0.3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15.6" x14ac:dyDescent="0.3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15.6" x14ac:dyDescent="0.3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15.6" x14ac:dyDescent="0.3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15.6" x14ac:dyDescent="0.3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15.6" x14ac:dyDescent="0.3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15.6" x14ac:dyDescent="0.3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15.6" x14ac:dyDescent="0.3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15.6" x14ac:dyDescent="0.3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15.6" x14ac:dyDescent="0.3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15.6" x14ac:dyDescent="0.3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15.6" x14ac:dyDescent="0.3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15.6" x14ac:dyDescent="0.3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15.6" x14ac:dyDescent="0.3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15.6" x14ac:dyDescent="0.3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15.6" x14ac:dyDescent="0.3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15.6" x14ac:dyDescent="0.3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15.6" x14ac:dyDescent="0.3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15.6" x14ac:dyDescent="0.3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15.6" x14ac:dyDescent="0.3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15.6" x14ac:dyDescent="0.3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15.6" x14ac:dyDescent="0.3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15.6" x14ac:dyDescent="0.3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15.6" x14ac:dyDescent="0.3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15.6" x14ac:dyDescent="0.3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15.6" x14ac:dyDescent="0.3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15.6" x14ac:dyDescent="0.3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15.6" x14ac:dyDescent="0.3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15.6" x14ac:dyDescent="0.3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15.6" x14ac:dyDescent="0.3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15.6" x14ac:dyDescent="0.3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15.6" x14ac:dyDescent="0.3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15.6" x14ac:dyDescent="0.3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15.6" x14ac:dyDescent="0.3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15.6" x14ac:dyDescent="0.3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15.6" x14ac:dyDescent="0.3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15.6" x14ac:dyDescent="0.3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15.6" x14ac:dyDescent="0.3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15.6" x14ac:dyDescent="0.3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15.6" x14ac:dyDescent="0.3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15.6" x14ac:dyDescent="0.3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15.6" x14ac:dyDescent="0.3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15.6" x14ac:dyDescent="0.3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15.6" x14ac:dyDescent="0.3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15.6" x14ac:dyDescent="0.3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15.6" x14ac:dyDescent="0.3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15.6" x14ac:dyDescent="0.3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15.6" x14ac:dyDescent="0.3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15.6" x14ac:dyDescent="0.3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15.6" x14ac:dyDescent="0.3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15.6" x14ac:dyDescent="0.3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15.6" x14ac:dyDescent="0.3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15.6" x14ac:dyDescent="0.3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15.6" x14ac:dyDescent="0.3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15.6" x14ac:dyDescent="0.3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15.6" x14ac:dyDescent="0.3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15.6" x14ac:dyDescent="0.3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15.6" x14ac:dyDescent="0.3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15.6" x14ac:dyDescent="0.3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15.6" x14ac:dyDescent="0.3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15.6" x14ac:dyDescent="0.3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15.6" x14ac:dyDescent="0.3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15.6" x14ac:dyDescent="0.3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15.6" x14ac:dyDescent="0.3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15.6" x14ac:dyDescent="0.3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15.6" x14ac:dyDescent="0.3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15.6" x14ac:dyDescent="0.3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15.6" x14ac:dyDescent="0.3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15.6" x14ac:dyDescent="0.3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15.6" x14ac:dyDescent="0.3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15.6" x14ac:dyDescent="0.3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15.6" x14ac:dyDescent="0.3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15.6" x14ac:dyDescent="0.3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15.6" x14ac:dyDescent="0.3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15.6" x14ac:dyDescent="0.3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15.6" x14ac:dyDescent="0.3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15.6" x14ac:dyDescent="0.3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15.6" x14ac:dyDescent="0.3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15.6" x14ac:dyDescent="0.3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15.6" x14ac:dyDescent="0.3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15.6" x14ac:dyDescent="0.3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15.6" x14ac:dyDescent="0.3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15.6" x14ac:dyDescent="0.3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15.6" x14ac:dyDescent="0.3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15.6" x14ac:dyDescent="0.3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15.6" x14ac:dyDescent="0.3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15.6" x14ac:dyDescent="0.3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15.6" x14ac:dyDescent="0.3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15.6" x14ac:dyDescent="0.3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15.6" x14ac:dyDescent="0.3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15.6" x14ac:dyDescent="0.3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15.6" x14ac:dyDescent="0.3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15.6" x14ac:dyDescent="0.3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15.6" x14ac:dyDescent="0.3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15.6" x14ac:dyDescent="0.3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15.6" x14ac:dyDescent="0.3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15.6" x14ac:dyDescent="0.3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15.6" x14ac:dyDescent="0.3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15.6" x14ac:dyDescent="0.3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15.6" x14ac:dyDescent="0.3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15.6" x14ac:dyDescent="0.3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15.6" x14ac:dyDescent="0.3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15.6" x14ac:dyDescent="0.3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15.6" x14ac:dyDescent="0.3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15.6" x14ac:dyDescent="0.3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15.6" x14ac:dyDescent="0.3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15.6" x14ac:dyDescent="0.3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15.6" x14ac:dyDescent="0.3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15.6" x14ac:dyDescent="0.3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15.6" x14ac:dyDescent="0.3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15.6" x14ac:dyDescent="0.3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15.6" x14ac:dyDescent="0.3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15.6" x14ac:dyDescent="0.3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15.6" x14ac:dyDescent="0.3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15.6" x14ac:dyDescent="0.3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15.6" x14ac:dyDescent="0.3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15.6" x14ac:dyDescent="0.3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15.6" x14ac:dyDescent="0.3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15.6" x14ac:dyDescent="0.3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15.6" x14ac:dyDescent="0.3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15.6" x14ac:dyDescent="0.3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15.6" x14ac:dyDescent="0.3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15.6" x14ac:dyDescent="0.3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15.6" x14ac:dyDescent="0.3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15.6" x14ac:dyDescent="0.3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15.6" x14ac:dyDescent="0.3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15.6" x14ac:dyDescent="0.3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15.6" x14ac:dyDescent="0.3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15.6" x14ac:dyDescent="0.3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15.6" x14ac:dyDescent="0.3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15.6" x14ac:dyDescent="0.3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15.6" x14ac:dyDescent="0.3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15.6" x14ac:dyDescent="0.3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15.6" x14ac:dyDescent="0.3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15.6" x14ac:dyDescent="0.3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15.6" x14ac:dyDescent="0.3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15.6" x14ac:dyDescent="0.3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15.6" x14ac:dyDescent="0.3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15.6" x14ac:dyDescent="0.3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15.6" x14ac:dyDescent="0.3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15.6" x14ac:dyDescent="0.3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15.6" x14ac:dyDescent="0.3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15.6" x14ac:dyDescent="0.3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15.6" x14ac:dyDescent="0.3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15.6" x14ac:dyDescent="0.3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15.6" x14ac:dyDescent="0.3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15.6" x14ac:dyDescent="0.3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15.6" x14ac:dyDescent="0.3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15.6" x14ac:dyDescent="0.3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15.6" x14ac:dyDescent="0.3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15.6" x14ac:dyDescent="0.3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15.6" x14ac:dyDescent="0.3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15.6" x14ac:dyDescent="0.3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15.6" x14ac:dyDescent="0.3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15.6" x14ac:dyDescent="0.3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15.6" x14ac:dyDescent="0.3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15.6" x14ac:dyDescent="0.3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15.6" x14ac:dyDescent="0.3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15.6" x14ac:dyDescent="0.3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15.6" x14ac:dyDescent="0.3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15.6" x14ac:dyDescent="0.3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15.6" x14ac:dyDescent="0.3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15.6" x14ac:dyDescent="0.3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15.6" x14ac:dyDescent="0.3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15.6" x14ac:dyDescent="0.3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15.6" x14ac:dyDescent="0.3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15.6" x14ac:dyDescent="0.3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15.6" x14ac:dyDescent="0.3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15.6" x14ac:dyDescent="0.3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15.6" x14ac:dyDescent="0.3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15.6" x14ac:dyDescent="0.3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15.6" x14ac:dyDescent="0.3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15.6" x14ac:dyDescent="0.3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15.6" x14ac:dyDescent="0.3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15.6" x14ac:dyDescent="0.3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15.6" x14ac:dyDescent="0.3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15.6" x14ac:dyDescent="0.3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15.6" x14ac:dyDescent="0.3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15.6" x14ac:dyDescent="0.3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15.6" x14ac:dyDescent="0.3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15.6" x14ac:dyDescent="0.3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15.6" x14ac:dyDescent="0.3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15.6" x14ac:dyDescent="0.3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15.6" x14ac:dyDescent="0.3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15.6" x14ac:dyDescent="0.3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15.6" x14ac:dyDescent="0.3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15.6" x14ac:dyDescent="0.3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15.6" x14ac:dyDescent="0.3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15.6" x14ac:dyDescent="0.3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15.6" x14ac:dyDescent="0.3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15.6" x14ac:dyDescent="0.3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15.6" x14ac:dyDescent="0.3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15.6" x14ac:dyDescent="0.3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15.6" x14ac:dyDescent="0.3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15.6" x14ac:dyDescent="0.3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15.6" x14ac:dyDescent="0.3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15.6" x14ac:dyDescent="0.3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15.6" x14ac:dyDescent="0.3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15.6" x14ac:dyDescent="0.3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15.6" x14ac:dyDescent="0.3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15.6" x14ac:dyDescent="0.3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15.6" x14ac:dyDescent="0.3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15.6" x14ac:dyDescent="0.3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15.6" x14ac:dyDescent="0.3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15.6" x14ac:dyDescent="0.3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spans="1:26" ht="15.6" x14ac:dyDescent="0.3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spans="1:26" ht="15.6" x14ac:dyDescent="0.3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sheetProtection algorithmName="SHA-512" hashValue="d/Guu566FPj/nfDDsJ6v0RF+uIzLPUgYmPfsSutlwz6rEcbsi6LN455zE9llLDE14n1UU2iZyE00G/pVx8qYSg==" saltValue="Wl92qnRHK26cMqS2e+ixJQ==" spinCount="100000" sheet="1" objects="1" scenarios="1"/>
  <conditionalFormatting sqref="D65:E65">
    <cfRule type="expression" dxfId="15" priority="1">
      <formula>+#REF!&gt;C65</formula>
    </cfRule>
  </conditionalFormatting>
  <conditionalFormatting sqref="D12:D15">
    <cfRule type="cellIs" dxfId="14" priority="2" operator="lessThan">
      <formula>0</formula>
    </cfRule>
  </conditionalFormatting>
  <conditionalFormatting sqref="D69:E69">
    <cfRule type="expression" dxfId="13" priority="3">
      <formula>+#REF!&gt;C69</formula>
    </cfRule>
  </conditionalFormatting>
  <conditionalFormatting sqref="D66:E68">
    <cfRule type="expression" dxfId="12" priority="4">
      <formula>+#REF!&gt;C66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6" zoomScale="80" zoomScaleNormal="80" workbookViewId="0">
      <selection activeCell="C37" sqref="C37"/>
    </sheetView>
  </sheetViews>
  <sheetFormatPr defaultColWidth="11.19921875" defaultRowHeight="15" customHeight="1" x14ac:dyDescent="0.3"/>
  <cols>
    <col min="1" max="1" width="6.59765625" customWidth="1"/>
    <col min="2" max="2" width="38.796875" customWidth="1"/>
    <col min="3" max="3" width="20" customWidth="1"/>
    <col min="4" max="4" width="19.3984375" customWidth="1"/>
    <col min="5" max="5" width="27.69921875" customWidth="1"/>
    <col min="6" max="6" width="14.09765625" customWidth="1"/>
    <col min="7" max="7" width="13.19921875" customWidth="1"/>
    <col min="8" max="8" width="13.59765625" customWidth="1"/>
    <col min="9" max="9" width="5.8984375" customWidth="1"/>
    <col min="10" max="10" width="33.69921875" customWidth="1"/>
    <col min="11" max="11" width="15.59765625" customWidth="1"/>
    <col min="12" max="12" width="11.69921875" customWidth="1"/>
    <col min="13" max="13" width="14.796875" customWidth="1"/>
    <col min="14" max="14" width="6.59765625" customWidth="1"/>
    <col min="15" max="15" width="33.69921875" customWidth="1"/>
    <col min="16" max="16" width="14.59765625" customWidth="1"/>
    <col min="17" max="17" width="19.3984375" customWidth="1"/>
    <col min="18" max="18" width="15" customWidth="1"/>
    <col min="19" max="19" width="4.8984375" customWidth="1"/>
    <col min="20" max="26" width="6.59765625" customWidth="1"/>
  </cols>
  <sheetData>
    <row r="1" spans="1:26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8" customHeight="1" x14ac:dyDescent="0.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 x14ac:dyDescent="0.3">
      <c r="A3" s="1"/>
      <c r="B3" s="3" t="s">
        <v>1</v>
      </c>
      <c r="C3" s="4" t="s">
        <v>2</v>
      </c>
      <c r="D3" s="5" t="s">
        <v>2</v>
      </c>
      <c r="E3" s="6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1"/>
      <c r="B4" s="21" t="s">
        <v>4</v>
      </c>
      <c r="C4" s="218">
        <v>1</v>
      </c>
      <c r="D4" s="219"/>
      <c r="E4" s="230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1"/>
      <c r="B5" s="7"/>
      <c r="C5" s="220"/>
      <c r="D5" s="219"/>
      <c r="E5" s="2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 x14ac:dyDescent="0.3">
      <c r="A6" s="1"/>
      <c r="B6" s="9" t="s">
        <v>6</v>
      </c>
      <c r="C6" s="221">
        <v>7.0000000000000007E-2</v>
      </c>
      <c r="D6" s="206"/>
      <c r="E6" s="231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1"/>
      <c r="B7" s="9" t="s">
        <v>8</v>
      </c>
      <c r="C7" s="222" t="s">
        <v>91</v>
      </c>
      <c r="D7" s="206"/>
      <c r="E7" s="231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 x14ac:dyDescent="0.3">
      <c r="A8" s="1"/>
      <c r="B8" s="12" t="s">
        <v>11</v>
      </c>
      <c r="C8" s="232">
        <v>0</v>
      </c>
      <c r="D8" s="224"/>
      <c r="E8" s="233" t="s">
        <v>92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1"/>
      <c r="B9" s="12" t="s">
        <v>12</v>
      </c>
      <c r="C9" s="232">
        <v>0</v>
      </c>
      <c r="D9" s="224"/>
      <c r="E9" s="233" t="s">
        <v>92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1"/>
      <c r="B10" s="9" t="s">
        <v>93</v>
      </c>
      <c r="C10" s="205">
        <v>15000</v>
      </c>
      <c r="D10" s="206"/>
      <c r="E10" s="2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1"/>
      <c r="B11" s="9" t="s">
        <v>94</v>
      </c>
      <c r="C11" s="205">
        <v>2500</v>
      </c>
      <c r="D11" s="206"/>
      <c r="E11" s="23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1"/>
      <c r="B12" s="12" t="s">
        <v>13</v>
      </c>
      <c r="C12" s="223">
        <v>0.09</v>
      </c>
      <c r="D12" s="224"/>
      <c r="E12" s="23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 x14ac:dyDescent="0.3">
      <c r="A13" s="1"/>
      <c r="B13" s="9"/>
      <c r="C13" s="234"/>
      <c r="D13" s="226"/>
      <c r="E13" s="23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3">
      <c r="A14" s="1"/>
      <c r="B14" s="12" t="s">
        <v>14</v>
      </c>
      <c r="C14" s="236">
        <v>0</v>
      </c>
      <c r="D14" s="232">
        <v>0</v>
      </c>
      <c r="E14" s="233" t="s">
        <v>15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3">
      <c r="A15" s="1"/>
      <c r="B15" s="12" t="s">
        <v>16</v>
      </c>
      <c r="C15" s="236">
        <v>0</v>
      </c>
      <c r="D15" s="232">
        <v>0</v>
      </c>
      <c r="E15" s="233" t="s">
        <v>15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"/>
      <c r="B16" s="12" t="s">
        <v>17</v>
      </c>
      <c r="C16" s="236">
        <v>0</v>
      </c>
      <c r="D16" s="232">
        <v>0</v>
      </c>
      <c r="E16" s="233" t="s">
        <v>15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1"/>
      <c r="B17" s="12" t="s">
        <v>18</v>
      </c>
      <c r="C17" s="236">
        <v>0</v>
      </c>
      <c r="D17" s="232">
        <v>0</v>
      </c>
      <c r="E17" s="233" t="s">
        <v>15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1"/>
      <c r="B18" s="9" t="s">
        <v>19</v>
      </c>
      <c r="C18" s="227">
        <v>0.8</v>
      </c>
      <c r="D18" s="206"/>
      <c r="E18" s="2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3">
      <c r="A19" s="1"/>
      <c r="B19" s="9"/>
      <c r="C19" s="238"/>
      <c r="D19" s="206"/>
      <c r="E19" s="23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1"/>
      <c r="B20" s="16" t="s">
        <v>20</v>
      </c>
      <c r="C20" s="239">
        <v>0</v>
      </c>
      <c r="D20" s="240"/>
      <c r="E20" s="241" t="s">
        <v>21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5">
      <c r="A23" s="1"/>
      <c r="B23" s="2" t="s">
        <v>22</v>
      </c>
      <c r="C23" s="1"/>
      <c r="D23" s="1"/>
      <c r="E23" s="1"/>
      <c r="F23" s="1"/>
      <c r="G23" s="1"/>
      <c r="H23" s="1"/>
      <c r="I23" s="1"/>
      <c r="J23" s="19" t="s">
        <v>95</v>
      </c>
      <c r="K23" s="1"/>
      <c r="L23" s="1"/>
      <c r="M23" s="1"/>
      <c r="N23" s="1"/>
      <c r="O23" s="19" t="s">
        <v>96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1"/>
      <c r="B24" s="3" t="s">
        <v>1</v>
      </c>
      <c r="C24" s="4" t="s">
        <v>2</v>
      </c>
      <c r="D24" s="6" t="s">
        <v>3</v>
      </c>
      <c r="E24" s="20"/>
      <c r="F24" s="1"/>
      <c r="G24" s="1"/>
      <c r="H24" s="1"/>
      <c r="I24" s="1"/>
      <c r="J24" s="3" t="s">
        <v>1</v>
      </c>
      <c r="K24" s="4" t="s">
        <v>2</v>
      </c>
      <c r="L24" s="66"/>
      <c r="M24" s="20"/>
      <c r="N24" s="1"/>
      <c r="O24" s="3" t="s">
        <v>1</v>
      </c>
      <c r="P24" s="4" t="s">
        <v>2</v>
      </c>
      <c r="Q24" s="66"/>
      <c r="R24" s="20"/>
      <c r="S24" s="1"/>
      <c r="T24" s="1"/>
      <c r="U24" s="1"/>
      <c r="V24" s="1"/>
      <c r="W24" s="1"/>
      <c r="X24" s="1"/>
      <c r="Y24" s="1"/>
      <c r="Z24" s="1"/>
    </row>
    <row r="25" spans="1:26" ht="15.6" x14ac:dyDescent="0.3">
      <c r="A25" s="1"/>
      <c r="B25" s="21" t="s">
        <v>25</v>
      </c>
      <c r="C25" s="118">
        <f t="shared" ref="C25:C28" si="0">SUM(K25,P25)</f>
        <v>1323</v>
      </c>
      <c r="D25" s="23" t="s">
        <v>26</v>
      </c>
      <c r="E25" s="1"/>
      <c r="F25" s="1"/>
      <c r="G25" s="1"/>
      <c r="H25" s="1"/>
      <c r="I25" s="1"/>
      <c r="J25" s="7" t="s">
        <v>97</v>
      </c>
      <c r="K25" s="67">
        <v>705</v>
      </c>
      <c r="L25" s="68"/>
      <c r="M25" s="1"/>
      <c r="N25" s="1"/>
      <c r="O25" s="7" t="s">
        <v>97</v>
      </c>
      <c r="P25" s="69">
        <v>618</v>
      </c>
      <c r="Q25" s="68"/>
      <c r="R25" s="1"/>
      <c r="S25" s="1"/>
      <c r="T25" s="1"/>
      <c r="U25" s="1"/>
      <c r="V25" s="1"/>
      <c r="W25" s="1"/>
      <c r="X25" s="1"/>
      <c r="Y25" s="1"/>
      <c r="Z25" s="1"/>
    </row>
    <row r="26" spans="1:26" ht="15.6" x14ac:dyDescent="0.3">
      <c r="A26" s="1"/>
      <c r="B26" s="9" t="s">
        <v>27</v>
      </c>
      <c r="C26" s="98">
        <f t="shared" si="0"/>
        <v>31</v>
      </c>
      <c r="D26" s="11" t="s">
        <v>28</v>
      </c>
      <c r="E26" s="1"/>
      <c r="F26" s="1"/>
      <c r="G26" s="1"/>
      <c r="H26" s="1"/>
      <c r="I26" s="1"/>
      <c r="J26" s="9" t="s">
        <v>27</v>
      </c>
      <c r="K26" s="70">
        <v>6</v>
      </c>
      <c r="L26" s="68"/>
      <c r="M26" s="1"/>
      <c r="N26" s="1"/>
      <c r="O26" s="9" t="s">
        <v>27</v>
      </c>
      <c r="P26" s="71">
        <v>25</v>
      </c>
      <c r="Q26" s="68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3">
      <c r="A27" s="1"/>
      <c r="B27" s="9" t="s">
        <v>29</v>
      </c>
      <c r="C27" s="98">
        <f t="shared" si="0"/>
        <v>1354</v>
      </c>
      <c r="D27" s="11" t="s">
        <v>30</v>
      </c>
      <c r="E27" s="1"/>
      <c r="F27" s="1"/>
      <c r="G27" s="1"/>
      <c r="H27" s="1"/>
      <c r="I27" s="1"/>
      <c r="J27" s="9" t="s">
        <v>29</v>
      </c>
      <c r="K27" s="72">
        <f>SUM(K25:K26)</f>
        <v>711</v>
      </c>
      <c r="L27" s="68"/>
      <c r="M27" s="1"/>
      <c r="N27" s="1"/>
      <c r="O27" s="9" t="s">
        <v>29</v>
      </c>
      <c r="P27" s="72">
        <f>SUM(P25:P26)</f>
        <v>643</v>
      </c>
      <c r="Q27" s="68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1"/>
      <c r="B28" s="24" t="s">
        <v>31</v>
      </c>
      <c r="C28" s="128">
        <f t="shared" si="0"/>
        <v>36709.199999999997</v>
      </c>
      <c r="D28" s="26" t="s">
        <v>32</v>
      </c>
      <c r="E28" s="1"/>
      <c r="F28" s="1"/>
      <c r="G28" s="1"/>
      <c r="H28" s="1"/>
      <c r="I28" s="1"/>
      <c r="J28" s="9" t="s">
        <v>31</v>
      </c>
      <c r="K28" s="73">
        <v>18297.34</v>
      </c>
      <c r="L28" s="68"/>
      <c r="M28" s="1"/>
      <c r="N28" s="1"/>
      <c r="O28" s="9" t="s">
        <v>31</v>
      </c>
      <c r="P28" s="74">
        <v>18411.86</v>
      </c>
      <c r="Q28" s="68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24" t="s">
        <v>34</v>
      </c>
      <c r="K29" s="75">
        <v>0.09</v>
      </c>
      <c r="L29" s="68"/>
      <c r="M29" s="1"/>
      <c r="N29" s="1"/>
      <c r="O29" s="24" t="s">
        <v>34</v>
      </c>
      <c r="P29" s="76">
        <v>0.09</v>
      </c>
      <c r="Q29" s="68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5">
      <c r="A31" s="1"/>
      <c r="B31" s="27" t="s">
        <v>35</v>
      </c>
      <c r="C31" s="20"/>
      <c r="D31" s="28"/>
      <c r="E31" s="28"/>
      <c r="F31" s="29"/>
      <c r="G31" s="28"/>
      <c r="H31" s="1"/>
      <c r="I31" s="1"/>
      <c r="J31" s="2"/>
      <c r="K31" s="20"/>
      <c r="L31" s="28"/>
      <c r="M31" s="28"/>
      <c r="N31" s="1"/>
      <c r="O31" s="2"/>
      <c r="P31" s="20"/>
      <c r="Q31" s="28"/>
      <c r="R31" s="28"/>
      <c r="S31" s="29"/>
      <c r="T31" s="1"/>
      <c r="U31" s="1"/>
      <c r="V31" s="1"/>
      <c r="W31" s="1"/>
      <c r="X31" s="1"/>
      <c r="Y31" s="1"/>
      <c r="Z31" s="1"/>
    </row>
    <row r="32" spans="1:26" ht="15.6" x14ac:dyDescent="0.3">
      <c r="A32" s="1"/>
      <c r="B32" s="3" t="s">
        <v>1</v>
      </c>
      <c r="C32" s="30" t="s">
        <v>36</v>
      </c>
      <c r="D32" s="30" t="s">
        <v>37</v>
      </c>
      <c r="E32" s="30" t="s">
        <v>38</v>
      </c>
      <c r="F32" s="30" t="s">
        <v>39</v>
      </c>
      <c r="G32" s="30" t="s">
        <v>34</v>
      </c>
      <c r="H32" s="31" t="s">
        <v>29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"/>
      <c r="B33" s="21" t="s">
        <v>4</v>
      </c>
      <c r="C33" s="152">
        <f>-SUM(L44,Q44)</f>
        <v>1213.7614678899083</v>
      </c>
      <c r="D33" s="118"/>
      <c r="E33" s="118"/>
      <c r="F33" s="152"/>
      <c r="G33" s="152">
        <f>-SUM(M44,R44)</f>
        <v>109.23853211009174</v>
      </c>
      <c r="H33" s="153">
        <f t="shared" ref="H33:H35" si="1">SUM(C33:G33)</f>
        <v>1323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"/>
      <c r="B34" s="9" t="s">
        <v>40</v>
      </c>
      <c r="C34" s="140">
        <f>SUM(C95)</f>
        <v>6068.1141773128693</v>
      </c>
      <c r="D34" s="140">
        <f>SUM(C94)</f>
        <v>24272.45</v>
      </c>
      <c r="E34" s="141"/>
      <c r="F34" s="140"/>
      <c r="G34" s="140">
        <f>SUM(E50)</f>
        <v>2730.6507759581577</v>
      </c>
      <c r="H34" s="142">
        <f t="shared" si="1"/>
        <v>33071.214953271025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"/>
      <c r="B35" s="9" t="s">
        <v>38</v>
      </c>
      <c r="C35" s="141"/>
      <c r="D35" s="140"/>
      <c r="E35" s="140">
        <f>-D46</f>
        <v>2123.8394924119011</v>
      </c>
      <c r="F35" s="140"/>
      <c r="G35" s="140">
        <f>-E46</f>
        <v>191.14555431707112</v>
      </c>
      <c r="H35" s="142">
        <f t="shared" si="1"/>
        <v>2314.9850467289721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"/>
      <c r="B36" s="36" t="s">
        <v>41</v>
      </c>
      <c r="C36" s="156">
        <f>-E36</f>
        <v>0</v>
      </c>
      <c r="D36" s="156"/>
      <c r="E36" s="156">
        <f>C70</f>
        <v>0</v>
      </c>
      <c r="F36" s="156"/>
      <c r="G36" s="156"/>
      <c r="H36" s="15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"/>
      <c r="B37" s="16" t="s">
        <v>39</v>
      </c>
      <c r="C37" s="146"/>
      <c r="D37" s="111"/>
      <c r="E37" s="111"/>
      <c r="F37" s="111">
        <f>-SUM(D48)</f>
        <v>0</v>
      </c>
      <c r="G37" s="111">
        <f>SUM(F37*C12)</f>
        <v>0</v>
      </c>
      <c r="H37" s="147">
        <f>SUM(C37:G37)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"/>
      <c r="B38" s="39" t="s">
        <v>42</v>
      </c>
      <c r="C38" s="149">
        <f t="shared" ref="C38:H38" si="2">SUM(C33:C37)</f>
        <v>7281.8756452027774</v>
      </c>
      <c r="D38" s="149">
        <f t="shared" si="2"/>
        <v>24272.45</v>
      </c>
      <c r="E38" s="149">
        <f t="shared" si="2"/>
        <v>2123.8394924119011</v>
      </c>
      <c r="F38" s="149">
        <f t="shared" si="2"/>
        <v>0</v>
      </c>
      <c r="G38" s="149">
        <f t="shared" si="2"/>
        <v>3031.0348623853206</v>
      </c>
      <c r="H38" s="150">
        <f t="shared" si="2"/>
        <v>36709.199999999997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8" x14ac:dyDescent="0.5">
      <c r="A41" s="1"/>
      <c r="B41" s="2" t="s">
        <v>43</v>
      </c>
      <c r="C41" s="1"/>
      <c r="D41" s="82"/>
      <c r="E41" s="1"/>
      <c r="F41" s="1"/>
      <c r="G41" s="1"/>
      <c r="H41" s="1"/>
      <c r="I41" s="1"/>
      <c r="J41" s="2" t="s">
        <v>44</v>
      </c>
      <c r="K41" s="1"/>
      <c r="L41" s="1"/>
      <c r="M41" s="1"/>
      <c r="N41" s="1"/>
      <c r="O41" s="2" t="s">
        <v>45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"/>
      <c r="B42" s="3" t="s">
        <v>1</v>
      </c>
      <c r="C42" s="30" t="s">
        <v>46</v>
      </c>
      <c r="D42" s="30" t="s">
        <v>47</v>
      </c>
      <c r="E42" s="31" t="s">
        <v>34</v>
      </c>
      <c r="F42" s="1"/>
      <c r="G42" s="1"/>
      <c r="H42" s="1"/>
      <c r="I42" s="1"/>
      <c r="J42" s="40"/>
      <c r="K42" s="30" t="s">
        <v>48</v>
      </c>
      <c r="L42" s="30" t="s">
        <v>49</v>
      </c>
      <c r="M42" s="31" t="s">
        <v>34</v>
      </c>
      <c r="N42" s="1"/>
      <c r="O42" s="40"/>
      <c r="P42" s="30" t="s">
        <v>48</v>
      </c>
      <c r="Q42" s="30" t="s">
        <v>49</v>
      </c>
      <c r="R42" s="31" t="s">
        <v>34</v>
      </c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"/>
      <c r="B43" s="21" t="s">
        <v>50</v>
      </c>
      <c r="C43" s="152">
        <f>SUM(C28)</f>
        <v>36709.199999999997</v>
      </c>
      <c r="D43" s="152">
        <f t="shared" ref="D43:E43" si="3">SUM(L43,Q43)</f>
        <v>33678.165137614676</v>
      </c>
      <c r="E43" s="153">
        <f t="shared" si="3"/>
        <v>3031.0348623853206</v>
      </c>
      <c r="F43" s="1"/>
      <c r="G43" s="1"/>
      <c r="H43" s="1"/>
      <c r="I43" s="1"/>
      <c r="J43" s="21" t="s">
        <v>50</v>
      </c>
      <c r="K43" s="32">
        <f>SUM(K28)</f>
        <v>18297.34</v>
      </c>
      <c r="L43" s="33">
        <f t="shared" ref="L43:L44" si="4">K43-M43</f>
        <v>16786.550458715596</v>
      </c>
      <c r="M43" s="77">
        <f t="shared" ref="M43:M44" si="5">$K$29*(+K43/(1+$K$29))</f>
        <v>1510.7895412844036</v>
      </c>
      <c r="N43" s="1"/>
      <c r="O43" s="21" t="s">
        <v>50</v>
      </c>
      <c r="P43" s="32">
        <f>SUM(P28)</f>
        <v>18411.86</v>
      </c>
      <c r="Q43" s="32">
        <f t="shared" ref="Q43:Q44" si="6">P43-R43</f>
        <v>16891.614678899085</v>
      </c>
      <c r="R43" s="33">
        <f>$P29*(+P43/(1+$P$29))</f>
        <v>1520.2453211009172</v>
      </c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"/>
      <c r="B44" s="21" t="s">
        <v>4</v>
      </c>
      <c r="C44" s="140">
        <f>-SUM(C25*C4)</f>
        <v>-1323</v>
      </c>
      <c r="D44" s="140">
        <f t="shared" ref="D44:E44" si="7">SUM(L44,Q44)</f>
        <v>-1213.7614678899083</v>
      </c>
      <c r="E44" s="142">
        <f t="shared" si="7"/>
        <v>-109.23853211009174</v>
      </c>
      <c r="F44" s="1"/>
      <c r="G44" s="1"/>
      <c r="H44" s="1"/>
      <c r="I44" s="1"/>
      <c r="J44" s="96" t="s">
        <v>4</v>
      </c>
      <c r="K44" s="140">
        <f>-SUM(K25*C4)</f>
        <v>-705</v>
      </c>
      <c r="L44" s="142">
        <f t="shared" si="4"/>
        <v>-646.78899082568807</v>
      </c>
      <c r="M44" s="207">
        <f t="shared" si="5"/>
        <v>-58.211009174311926</v>
      </c>
      <c r="N44" s="82"/>
      <c r="O44" s="96" t="s">
        <v>4</v>
      </c>
      <c r="P44" s="140">
        <f>-SUM(C4*P25)</f>
        <v>-618</v>
      </c>
      <c r="Q44" s="140">
        <f t="shared" si="6"/>
        <v>-566.97247706422024</v>
      </c>
      <c r="R44" s="142">
        <f>$P$29*(+P44/(1+$P$29))</f>
        <v>-51.027522935779807</v>
      </c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"/>
      <c r="B45" s="9" t="s">
        <v>51</v>
      </c>
      <c r="C45" s="140">
        <f t="shared" ref="C45:E45" si="8">SUM(C43:C44)</f>
        <v>35386.199999999997</v>
      </c>
      <c r="D45" s="140">
        <f t="shared" si="8"/>
        <v>32464.403669724768</v>
      </c>
      <c r="E45" s="142">
        <f t="shared" si="8"/>
        <v>2921.7963302752287</v>
      </c>
      <c r="F45" s="1"/>
      <c r="G45" s="1"/>
      <c r="H45" s="1"/>
      <c r="I45" s="1"/>
      <c r="J45" s="96" t="s">
        <v>51</v>
      </c>
      <c r="K45" s="140">
        <f t="shared" ref="K45:M45" si="9">SUM(K43:K44)</f>
        <v>17592.34</v>
      </c>
      <c r="L45" s="142">
        <f t="shared" si="9"/>
        <v>16139.761467889908</v>
      </c>
      <c r="M45" s="207">
        <f t="shared" si="9"/>
        <v>1452.5785321100916</v>
      </c>
      <c r="N45" s="82"/>
      <c r="O45" s="96" t="s">
        <v>51</v>
      </c>
      <c r="P45" s="140">
        <f t="shared" ref="P45:R45" si="10">SUM(P43:P44)</f>
        <v>17793.86</v>
      </c>
      <c r="Q45" s="140">
        <f t="shared" si="10"/>
        <v>16324.642201834864</v>
      </c>
      <c r="R45" s="142">
        <f t="shared" si="10"/>
        <v>1469.2177981651373</v>
      </c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1"/>
      <c r="B46" s="9" t="s">
        <v>38</v>
      </c>
      <c r="C46" s="140">
        <f t="shared" ref="C46:E46" si="11">SUM(K46,P46)</f>
        <v>-2314.9850467289725</v>
      </c>
      <c r="D46" s="140">
        <f t="shared" si="11"/>
        <v>-2123.8394924119011</v>
      </c>
      <c r="E46" s="142">
        <f t="shared" si="11"/>
        <v>-191.14555431707112</v>
      </c>
      <c r="F46" s="1"/>
      <c r="G46" s="1"/>
      <c r="H46" s="1"/>
      <c r="I46" s="1"/>
      <c r="J46" s="96" t="s">
        <v>38</v>
      </c>
      <c r="K46" s="140">
        <f>SUM(L46,M46)</f>
        <v>-1150.9007476635516</v>
      </c>
      <c r="L46" s="142">
        <f>-(+L45*C74)</f>
        <v>-1055.8722455628913</v>
      </c>
      <c r="M46" s="207">
        <f>L46*$K$29</f>
        <v>-95.028502100660219</v>
      </c>
      <c r="N46" s="82"/>
      <c r="O46" s="96" t="s">
        <v>38</v>
      </c>
      <c r="P46" s="140">
        <f>SUM(Q46,R46)</f>
        <v>-1164.0842990654207</v>
      </c>
      <c r="Q46" s="140">
        <f>-(+Q45*C74)</f>
        <v>-1067.9672468490098</v>
      </c>
      <c r="R46" s="142">
        <f>Q46*$P$29</f>
        <v>-96.117052216410883</v>
      </c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"/>
      <c r="B47" s="36" t="s">
        <v>52</v>
      </c>
      <c r="C47" s="156">
        <f t="shared" ref="C47:E47" si="12">SUM(K47,P47)</f>
        <v>33071.214953271032</v>
      </c>
      <c r="D47" s="156">
        <f t="shared" si="12"/>
        <v>30340.56417731287</v>
      </c>
      <c r="E47" s="157">
        <f t="shared" si="12"/>
        <v>2730.6507759581577</v>
      </c>
      <c r="F47" s="1"/>
      <c r="G47" s="1"/>
      <c r="H47" s="1"/>
      <c r="I47" s="1"/>
      <c r="J47" s="127" t="s">
        <v>52</v>
      </c>
      <c r="K47" s="128">
        <f t="shared" ref="K47:M47" si="13">SUM(K45,K46)</f>
        <v>16441.439252336448</v>
      </c>
      <c r="L47" s="158">
        <f t="shared" si="13"/>
        <v>15083.889222327016</v>
      </c>
      <c r="M47" s="208">
        <f t="shared" si="13"/>
        <v>1357.5500300094313</v>
      </c>
      <c r="N47" s="82"/>
      <c r="O47" s="127" t="s">
        <v>52</v>
      </c>
      <c r="P47" s="128">
        <f t="shared" ref="P47:R47" si="14">SUM(P45,P46)</f>
        <v>16629.775700934581</v>
      </c>
      <c r="Q47" s="128">
        <f t="shared" si="14"/>
        <v>15256.674954985854</v>
      </c>
      <c r="R47" s="158">
        <f t="shared" si="14"/>
        <v>1373.1007459487264</v>
      </c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"/>
      <c r="B48" s="12" t="s">
        <v>39</v>
      </c>
      <c r="C48" s="104">
        <f>SUM(D48+E48)</f>
        <v>0</v>
      </c>
      <c r="D48" s="104">
        <f>-SUM(C20)</f>
        <v>0</v>
      </c>
      <c r="E48" s="154">
        <f>SUM(D48)*C12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1"/>
      <c r="B49" s="16" t="s">
        <v>53</v>
      </c>
      <c r="C49" s="111">
        <f t="shared" ref="C49:E49" si="15">SUM(C47:C48)</f>
        <v>33071.214953271032</v>
      </c>
      <c r="D49" s="111">
        <f t="shared" si="15"/>
        <v>30340.56417731287</v>
      </c>
      <c r="E49" s="111">
        <f t="shared" si="15"/>
        <v>2730.6507759581577</v>
      </c>
      <c r="F49" s="1"/>
      <c r="G49" s="1"/>
      <c r="H49" s="1"/>
      <c r="I49" s="1"/>
      <c r="J49" s="1"/>
      <c r="K49" s="42"/>
      <c r="L49" s="42"/>
      <c r="M49" s="42"/>
      <c r="N49" s="1"/>
      <c r="O49" s="1"/>
      <c r="P49" s="42"/>
      <c r="Q49" s="42"/>
      <c r="R49" s="42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1"/>
      <c r="B50" s="1"/>
      <c r="C50" s="115" t="s">
        <v>42</v>
      </c>
      <c r="D50" s="160">
        <f t="shared" ref="D50:E50" si="16">IF(D49&lt;0,0,D49)</f>
        <v>30340.56417731287</v>
      </c>
      <c r="E50" s="160">
        <f t="shared" si="16"/>
        <v>2730.6507759581577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8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8" x14ac:dyDescent="0.5">
      <c r="A52" s="1"/>
      <c r="B52" s="44" t="s">
        <v>54</v>
      </c>
      <c r="C52" s="45"/>
      <c r="D52" s="45"/>
      <c r="E52" s="45"/>
      <c r="F52" s="45"/>
      <c r="G52" s="45"/>
      <c r="H52" s="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"/>
      <c r="B53" s="46" t="s">
        <v>1</v>
      </c>
      <c r="C53" s="47" t="s">
        <v>55</v>
      </c>
      <c r="D53" s="47" t="s">
        <v>56</v>
      </c>
      <c r="E53" s="47" t="s">
        <v>57</v>
      </c>
      <c r="F53" s="47" t="s">
        <v>58</v>
      </c>
      <c r="G53" s="47" t="s">
        <v>59</v>
      </c>
      <c r="H53" s="48" t="s">
        <v>60</v>
      </c>
      <c r="I53" s="2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"/>
      <c r="B54" s="49" t="s">
        <v>61</v>
      </c>
      <c r="C54" s="50">
        <f t="shared" ref="C54:C57" si="17">+D14</f>
        <v>0</v>
      </c>
      <c r="D54" s="50">
        <f>+D50</f>
        <v>30340.56417731287</v>
      </c>
      <c r="E54" s="50">
        <f t="shared" ref="E54:E58" si="18">IF(D54&gt;C54,+C54,D54)</f>
        <v>0</v>
      </c>
      <c r="F54" s="50">
        <f t="shared" ref="F54:F58" si="19">ROUND(+E54*C14,2)</f>
        <v>0</v>
      </c>
      <c r="G54" s="50">
        <f t="shared" ref="G54:G58" si="20">+E54-F54</f>
        <v>0</v>
      </c>
      <c r="H54" s="51">
        <f t="shared" ref="H54:H59" si="21">IF(+D54-F54-G54&lt;0,0,+D54-F54-G54)</f>
        <v>30340.56417731287</v>
      </c>
      <c r="I54" s="5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"/>
      <c r="B55" s="12" t="s">
        <v>62</v>
      </c>
      <c r="C55" s="14">
        <f t="shared" si="17"/>
        <v>0</v>
      </c>
      <c r="D55" s="14">
        <f t="shared" ref="D55:D59" si="22">+H54</f>
        <v>30340.56417731287</v>
      </c>
      <c r="E55" s="14">
        <f t="shared" si="18"/>
        <v>0</v>
      </c>
      <c r="F55" s="14">
        <f t="shared" si="19"/>
        <v>0</v>
      </c>
      <c r="G55" s="14">
        <f t="shared" si="20"/>
        <v>0</v>
      </c>
      <c r="H55" s="41">
        <f t="shared" si="21"/>
        <v>30340.56417731287</v>
      </c>
      <c r="I55" s="5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"/>
      <c r="B56" s="12" t="s">
        <v>63</v>
      </c>
      <c r="C56" s="14">
        <f t="shared" si="17"/>
        <v>0</v>
      </c>
      <c r="D56" s="14">
        <f t="shared" si="22"/>
        <v>30340.56417731287</v>
      </c>
      <c r="E56" s="14">
        <f t="shared" si="18"/>
        <v>0</v>
      </c>
      <c r="F56" s="14">
        <f t="shared" si="19"/>
        <v>0</v>
      </c>
      <c r="G56" s="14">
        <f t="shared" si="20"/>
        <v>0</v>
      </c>
      <c r="H56" s="41">
        <f t="shared" si="21"/>
        <v>30340.56417731287</v>
      </c>
      <c r="I56" s="5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"/>
      <c r="B57" s="12" t="s">
        <v>64</v>
      </c>
      <c r="C57" s="14">
        <f t="shared" si="17"/>
        <v>0</v>
      </c>
      <c r="D57" s="14">
        <f t="shared" si="22"/>
        <v>30340.56417731287</v>
      </c>
      <c r="E57" s="14">
        <f t="shared" si="18"/>
        <v>0</v>
      </c>
      <c r="F57" s="14">
        <f t="shared" si="19"/>
        <v>0</v>
      </c>
      <c r="G57" s="14">
        <f t="shared" si="20"/>
        <v>0</v>
      </c>
      <c r="H57" s="41">
        <f t="shared" si="21"/>
        <v>30340.56417731287</v>
      </c>
      <c r="I57" s="5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"/>
      <c r="B58" s="12"/>
      <c r="C58" s="53">
        <f>IF(+D18&lt;&gt;0,+D18,10000000)</f>
        <v>10000000</v>
      </c>
      <c r="D58" s="14">
        <f t="shared" si="22"/>
        <v>30340.56417731287</v>
      </c>
      <c r="E58" s="14">
        <f t="shared" si="18"/>
        <v>30340.56417731287</v>
      </c>
      <c r="F58" s="14">
        <f t="shared" si="19"/>
        <v>24272.45</v>
      </c>
      <c r="G58" s="14">
        <f t="shared" si="20"/>
        <v>6068.1141773128693</v>
      </c>
      <c r="H58" s="41">
        <f t="shared" si="21"/>
        <v>0</v>
      </c>
      <c r="I58" s="5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"/>
      <c r="B59" s="12"/>
      <c r="C59" s="14">
        <f>SUM(C54:C58)</f>
        <v>10000000</v>
      </c>
      <c r="D59" s="14">
        <f t="shared" si="22"/>
        <v>0</v>
      </c>
      <c r="E59" s="54">
        <f t="shared" ref="E59:G59" si="23">SUM(E54:E58)</f>
        <v>30340.56417731287</v>
      </c>
      <c r="F59" s="54">
        <f t="shared" si="23"/>
        <v>24272.45</v>
      </c>
      <c r="G59" s="54">
        <f t="shared" si="23"/>
        <v>6068.1141773128693</v>
      </c>
      <c r="H59" s="41">
        <f t="shared" si="21"/>
        <v>0</v>
      </c>
      <c r="I59" s="5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1"/>
      <c r="B60" s="16"/>
      <c r="C60" s="17"/>
      <c r="D60" s="17"/>
      <c r="E60" s="17"/>
      <c r="F60" s="17" t="str">
        <f>IF(+G59+F59=E59,"OK","Fout")</f>
        <v>OK</v>
      </c>
      <c r="G60" s="17" t="str">
        <f>IF(+G59+F59=D50,"OK","Fout")</f>
        <v>OK</v>
      </c>
      <c r="H60" s="1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8" x14ac:dyDescent="0.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8" x14ac:dyDescent="0.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8" x14ac:dyDescent="0.5">
      <c r="A63" s="1"/>
      <c r="B63" s="2" t="s">
        <v>65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1"/>
      <c r="B64" s="20" t="s">
        <v>66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"/>
      <c r="B65" s="21" t="s">
        <v>67</v>
      </c>
      <c r="C65" s="152">
        <f>D45</f>
        <v>32464.403669724768</v>
      </c>
      <c r="D65" s="11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1"/>
      <c r="B66" s="9" t="s">
        <v>68</v>
      </c>
      <c r="C66" s="140">
        <f>+C94</f>
        <v>24272.45</v>
      </c>
      <c r="D66" s="9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1"/>
      <c r="B67" s="9" t="s">
        <v>69</v>
      </c>
      <c r="C67" s="169">
        <f>IF(+C66-C65&gt;0,+C66-C65,0)</f>
        <v>0</v>
      </c>
      <c r="D67" s="99" t="s">
        <v>70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1"/>
      <c r="B68" s="9" t="str">
        <f>IF(+C67&gt;0,"AR herrekening","Geen AR herrekening")</f>
        <v>Geen AR herrekening</v>
      </c>
      <c r="C68" s="98">
        <f>IF(+C67&gt;0,+ROUND(+C66*C6,2),0)</f>
        <v>0</v>
      </c>
      <c r="D68" s="99" t="s">
        <v>71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"/>
      <c r="B69" s="9" t="s">
        <v>72</v>
      </c>
      <c r="C69" s="140">
        <f>E35</f>
        <v>2123.8394924119011</v>
      </c>
      <c r="D69" s="9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1"/>
      <c r="B70" s="24" t="s">
        <v>73</v>
      </c>
      <c r="C70" s="128">
        <f>IF(C67&gt;0,+C68-C69,0)</f>
        <v>0</v>
      </c>
      <c r="D70" s="12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1"/>
      <c r="B71" s="1"/>
      <c r="C71" s="82"/>
      <c r="D71" s="8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1"/>
      <c r="B72" s="20" t="s">
        <v>74</v>
      </c>
      <c r="C72" s="82"/>
      <c r="D72" s="8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1"/>
      <c r="B73" s="21" t="s">
        <v>4</v>
      </c>
      <c r="C73" s="152">
        <f>+C25*(C4/1.06)</f>
        <v>1248.1132075471696</v>
      </c>
      <c r="D73" s="118"/>
      <c r="E73" s="55"/>
      <c r="F73" s="22"/>
      <c r="G73" s="22"/>
      <c r="H73" s="22"/>
      <c r="I73" s="22"/>
      <c r="J73" s="22"/>
      <c r="K73" s="56"/>
      <c r="L73" s="22"/>
      <c r="M73" s="22"/>
      <c r="N73" s="22"/>
      <c r="O73" s="22"/>
      <c r="P73" s="56"/>
      <c r="Q73" s="22"/>
      <c r="R73" s="23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1"/>
      <c r="B74" s="9" t="s">
        <v>75</v>
      </c>
      <c r="C74" s="172">
        <f>IF(C7="j",+C6/(1+C6),+C6)</f>
        <v>6.5420560747663559E-2</v>
      </c>
      <c r="D74" s="9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7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1"/>
      <c r="B75" s="9" t="s">
        <v>76</v>
      </c>
      <c r="C75" s="140">
        <f>SUM(K75,P75)</f>
        <v>3031.04</v>
      </c>
      <c r="D75" s="98"/>
      <c r="E75" s="58"/>
      <c r="F75" s="10"/>
      <c r="G75" s="10"/>
      <c r="H75" s="10"/>
      <c r="I75" s="10"/>
      <c r="J75" s="10"/>
      <c r="K75" s="141">
        <f>ROUND(K29*(+K28/(1+K29)),2)</f>
        <v>1510.79</v>
      </c>
      <c r="L75" s="10"/>
      <c r="M75" s="10"/>
      <c r="N75" s="10"/>
      <c r="O75" s="10"/>
      <c r="P75" s="141">
        <f>ROUND(P29*(+P28/(1+P29)),2)</f>
        <v>1520.25</v>
      </c>
      <c r="Q75" s="10"/>
      <c r="R75" s="1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1"/>
      <c r="B76" s="24" t="s">
        <v>77</v>
      </c>
      <c r="C76" s="175" t="str">
        <f>IF(C7="J","10/110","10/100")</f>
        <v>10/110</v>
      </c>
      <c r="D76" s="176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60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1"/>
      <c r="B77" s="1"/>
      <c r="C77" s="82"/>
      <c r="D77" s="8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1"/>
      <c r="B78" s="20" t="s">
        <v>78</v>
      </c>
      <c r="C78" s="82"/>
      <c r="D78" s="8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1"/>
      <c r="B79" s="21" t="s">
        <v>79</v>
      </c>
      <c r="C79" s="152">
        <f>C8-C9</f>
        <v>0</v>
      </c>
      <c r="D79" s="11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1"/>
      <c r="B80" s="24" t="s">
        <v>80</v>
      </c>
      <c r="C80" s="175" t="str">
        <f>IF(C79&lt;0,"afnemer","aanbieder")</f>
        <v>aanbieder</v>
      </c>
      <c r="D80" s="12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1"/>
      <c r="B81" s="61"/>
      <c r="C81" s="179"/>
      <c r="D81" s="179"/>
      <c r="E81" s="6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1"/>
      <c r="B82" s="20" t="s">
        <v>81</v>
      </c>
      <c r="C82" s="82"/>
      <c r="D82" s="8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1"/>
      <c r="B83" s="62"/>
      <c r="C83" s="181" t="s">
        <v>58</v>
      </c>
      <c r="D83" s="182" t="s">
        <v>59</v>
      </c>
      <c r="E83" s="2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1"/>
      <c r="B84" s="63" t="s">
        <v>82</v>
      </c>
      <c r="C84" s="140">
        <f t="shared" ref="C84:D84" si="24">F59</f>
        <v>24272.45</v>
      </c>
      <c r="D84" s="142">
        <f t="shared" si="24"/>
        <v>6068.1141773128693</v>
      </c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1"/>
      <c r="B85" s="63" t="s">
        <v>98</v>
      </c>
      <c r="C85" s="140">
        <f>C10</f>
        <v>15000</v>
      </c>
      <c r="D85" s="142"/>
      <c r="E85" s="5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 x14ac:dyDescent="0.3">
      <c r="A86" s="1"/>
      <c r="B86" s="63" t="s">
        <v>84</v>
      </c>
      <c r="C86" s="140">
        <f t="shared" ref="C86:D86" si="25">C84-C85</f>
        <v>9272.4500000000007</v>
      </c>
      <c r="D86" s="142">
        <f t="shared" si="25"/>
        <v>6068.1141773128693</v>
      </c>
      <c r="E86" s="6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 x14ac:dyDescent="0.3">
      <c r="A87" s="1"/>
      <c r="B87" s="65" t="s">
        <v>85</v>
      </c>
      <c r="C87" s="186" t="b">
        <f>IF(C86&lt;0,TRUE,FALSE)</f>
        <v>0</v>
      </c>
      <c r="D87" s="186" t="b">
        <f>IF(D86&lt;-0.01,TRUE,FALSE)</f>
        <v>0</v>
      </c>
      <c r="E87" s="2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 x14ac:dyDescent="0.3">
      <c r="A88" s="1"/>
      <c r="B88" s="9" t="s">
        <v>86</v>
      </c>
      <c r="C88" s="98" t="b">
        <f>AND(C87=FALSE,D87=FALSE)</f>
        <v>1</v>
      </c>
      <c r="D88" s="9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 x14ac:dyDescent="0.3">
      <c r="A89" s="1"/>
      <c r="B89" s="9"/>
      <c r="C89" s="98"/>
      <c r="D89" s="9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 x14ac:dyDescent="0.3">
      <c r="A90" s="1"/>
      <c r="B90" s="9" t="s">
        <v>99</v>
      </c>
      <c r="C90" s="140">
        <f>C86+C11</f>
        <v>11772.45</v>
      </c>
      <c r="D90" s="9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 x14ac:dyDescent="0.3">
      <c r="A91" s="1"/>
      <c r="B91" s="9" t="s">
        <v>100</v>
      </c>
      <c r="C91" s="98" t="b">
        <f>IF(C90&gt;0,FALSE,TRUE)</f>
        <v>0</v>
      </c>
      <c r="D91" s="9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 x14ac:dyDescent="0.3">
      <c r="A92" s="1"/>
      <c r="B92" s="9"/>
      <c r="C92" s="98"/>
      <c r="D92" s="9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 x14ac:dyDescent="0.3">
      <c r="A93" s="1"/>
      <c r="B93" s="9" t="s">
        <v>101</v>
      </c>
      <c r="C93" s="141">
        <f>IF(C91=FALSE,+(-C86),C11)</f>
        <v>-9272.4500000000007</v>
      </c>
      <c r="D93" s="9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x14ac:dyDescent="0.3">
      <c r="A94" s="1"/>
      <c r="B94" s="9" t="s">
        <v>102</v>
      </c>
      <c r="C94" s="209">
        <f>IF(C88=TRUE,C84,(IF(C87=TRUE,F59+C93,"FOUT")))</f>
        <v>24272.45</v>
      </c>
      <c r="D94" s="9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 x14ac:dyDescent="0.3">
      <c r="A95" s="1"/>
      <c r="B95" s="9" t="s">
        <v>103</v>
      </c>
      <c r="C95" s="203">
        <f>IF(C88=TRUE,D84,(D50-C94))</f>
        <v>6068.1141773128693</v>
      </c>
      <c r="D95" s="9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 x14ac:dyDescent="0.3">
      <c r="A96" s="1"/>
      <c r="B96" s="9" t="s">
        <v>89</v>
      </c>
      <c r="C96" s="98"/>
      <c r="D96" s="9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 x14ac:dyDescent="0.3">
      <c r="A97" s="1"/>
      <c r="B97" s="9" t="s">
        <v>90</v>
      </c>
      <c r="C97" s="140">
        <f>IF(C80="aanbieder",F59-C8)</f>
        <v>24272.45</v>
      </c>
      <c r="D97" s="142">
        <f t="shared" ref="D97:D98" si="26">IF(C97=FALSE,0,C97)</f>
        <v>24272.45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 x14ac:dyDescent="0.3">
      <c r="A98" s="1"/>
      <c r="B98" s="24"/>
      <c r="C98" s="176" t="b">
        <f>IF(C80="afnemer",G58-#REF!)</f>
        <v>0</v>
      </c>
      <c r="D98" s="129">
        <f t="shared" si="26"/>
        <v>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ZLNWtlqJcdeciCvfOzh0dhVaqZ3zY39Exi95lm0M3CJkc+p/KzogdMkCixUQZHwASLYjPRljJCX/kUXXi2ySMg==" saltValue="fIhFNbHWx/sL6PfxCB6oag==" spinCount="100000" sheet="1" objects="1" scenarios="1"/>
  <conditionalFormatting sqref="D67:E67">
    <cfRule type="expression" dxfId="11" priority="1">
      <formula>+#REF!&gt;C67</formula>
    </cfRule>
  </conditionalFormatting>
  <conditionalFormatting sqref="D14:D17">
    <cfRule type="cellIs" dxfId="10" priority="2" operator="lessThan">
      <formula>0</formula>
    </cfRule>
  </conditionalFormatting>
  <conditionalFormatting sqref="D71:E71">
    <cfRule type="expression" dxfId="9" priority="3">
      <formula>+#REF!&gt;C71</formula>
    </cfRule>
  </conditionalFormatting>
  <conditionalFormatting sqref="D68:E70">
    <cfRule type="expression" dxfId="8" priority="4">
      <formula>+#REF!&gt;C68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="80" zoomScaleNormal="80" workbookViewId="0">
      <selection activeCell="C26" sqref="C26"/>
    </sheetView>
  </sheetViews>
  <sheetFormatPr defaultColWidth="11.19921875" defaultRowHeight="15" customHeight="1" x14ac:dyDescent="0.3"/>
  <cols>
    <col min="1" max="1" width="6.59765625" customWidth="1"/>
    <col min="2" max="2" width="38.796875" customWidth="1"/>
    <col min="3" max="3" width="14.796875" customWidth="1"/>
    <col min="4" max="4" width="19.3984375" customWidth="1"/>
    <col min="5" max="5" width="27.69921875" customWidth="1"/>
    <col min="6" max="6" width="14.3984375" customWidth="1"/>
    <col min="7" max="8" width="14.59765625" customWidth="1"/>
    <col min="9" max="9" width="5.8984375" customWidth="1"/>
    <col min="10" max="10" width="33.69921875" customWidth="1"/>
    <col min="11" max="11" width="16.19921875" customWidth="1"/>
    <col min="12" max="12" width="19.3984375" customWidth="1"/>
    <col min="13" max="13" width="14.796875" customWidth="1"/>
    <col min="14" max="14" width="6.59765625" customWidth="1"/>
    <col min="15" max="15" width="33.69921875" customWidth="1"/>
    <col min="16" max="16" width="13.296875" customWidth="1"/>
    <col min="17" max="17" width="19.3984375" customWidth="1"/>
    <col min="18" max="18" width="15" customWidth="1"/>
    <col min="19" max="19" width="4.8984375" customWidth="1"/>
    <col min="20" max="26" width="6.59765625" customWidth="1"/>
  </cols>
  <sheetData>
    <row r="1" spans="1:26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8" x14ac:dyDescent="0.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 x14ac:dyDescent="0.3">
      <c r="A3" s="1"/>
      <c r="B3" s="3" t="s">
        <v>1</v>
      </c>
      <c r="C3" s="4" t="s">
        <v>2</v>
      </c>
      <c r="D3" s="4" t="s">
        <v>104</v>
      </c>
      <c r="E3" s="6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1"/>
      <c r="B4" s="21" t="s">
        <v>4</v>
      </c>
      <c r="C4" s="218">
        <v>2</v>
      </c>
      <c r="D4" s="219"/>
      <c r="E4" s="8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1"/>
      <c r="B5" s="7"/>
      <c r="C5" s="220"/>
      <c r="D5" s="219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 x14ac:dyDescent="0.3">
      <c r="A6" s="1"/>
      <c r="B6" s="9" t="s">
        <v>6</v>
      </c>
      <c r="C6" s="221">
        <v>0.1</v>
      </c>
      <c r="D6" s="206"/>
      <c r="E6" s="11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1"/>
      <c r="B7" s="9" t="s">
        <v>8</v>
      </c>
      <c r="C7" s="222" t="s">
        <v>91</v>
      </c>
      <c r="D7" s="206"/>
      <c r="E7" s="11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 x14ac:dyDescent="0.3">
      <c r="A8" s="1"/>
      <c r="B8" s="9" t="s">
        <v>11</v>
      </c>
      <c r="C8" s="205">
        <v>1000</v>
      </c>
      <c r="D8" s="206"/>
      <c r="E8" s="11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1"/>
      <c r="B9" s="9" t="s">
        <v>12</v>
      </c>
      <c r="C9" s="205">
        <v>0</v>
      </c>
      <c r="D9" s="206"/>
      <c r="E9" s="11" t="s">
        <v>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1"/>
      <c r="B10" s="12" t="s">
        <v>13</v>
      </c>
      <c r="C10" s="223">
        <v>0.09</v>
      </c>
      <c r="D10" s="224"/>
      <c r="E10" s="1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1"/>
      <c r="B11" s="9"/>
      <c r="C11" s="225"/>
      <c r="D11" s="226"/>
      <c r="E11" s="1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1"/>
      <c r="B12" s="9" t="s">
        <v>14</v>
      </c>
      <c r="C12" s="227">
        <v>0.8</v>
      </c>
      <c r="D12" s="205">
        <v>2000</v>
      </c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 x14ac:dyDescent="0.3">
      <c r="A13" s="1"/>
      <c r="B13" s="9" t="s">
        <v>16</v>
      </c>
      <c r="C13" s="227">
        <v>0.5</v>
      </c>
      <c r="D13" s="205">
        <v>2000</v>
      </c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3">
      <c r="A14" s="1"/>
      <c r="B14" s="9" t="s">
        <v>17</v>
      </c>
      <c r="C14" s="227">
        <v>0.25</v>
      </c>
      <c r="D14" s="205">
        <v>2000</v>
      </c>
      <c r="E14" s="1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3">
      <c r="A15" s="1"/>
      <c r="B15" s="9" t="s">
        <v>18</v>
      </c>
      <c r="C15" s="227">
        <v>0.1</v>
      </c>
      <c r="D15" s="205">
        <v>2000</v>
      </c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"/>
      <c r="B16" s="9" t="s">
        <v>19</v>
      </c>
      <c r="C16" s="227">
        <v>0.5</v>
      </c>
      <c r="D16" s="206"/>
      <c r="E16" s="7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1"/>
      <c r="B17" s="9"/>
      <c r="C17" s="228"/>
      <c r="D17" s="206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1"/>
      <c r="B18" s="24" t="s">
        <v>20</v>
      </c>
      <c r="C18" s="205">
        <v>500</v>
      </c>
      <c r="D18" s="229"/>
      <c r="E18" s="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8" x14ac:dyDescent="0.5">
      <c r="A21" s="1"/>
      <c r="B21" s="2" t="s">
        <v>22</v>
      </c>
      <c r="C21" s="1"/>
      <c r="D21" s="1"/>
      <c r="E21" s="1"/>
      <c r="F21" s="1"/>
      <c r="G21" s="1"/>
      <c r="H21" s="1"/>
      <c r="I21" s="1"/>
      <c r="J21" s="19" t="s">
        <v>95</v>
      </c>
      <c r="K21" s="1"/>
      <c r="L21" s="1"/>
      <c r="M21" s="1"/>
      <c r="N21" s="1"/>
      <c r="O21" s="19" t="s">
        <v>96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"/>
      <c r="B22" s="3" t="s">
        <v>1</v>
      </c>
      <c r="C22" s="4" t="s">
        <v>2</v>
      </c>
      <c r="D22" s="6" t="s">
        <v>3</v>
      </c>
      <c r="E22" s="20"/>
      <c r="F22" s="1"/>
      <c r="G22" s="1"/>
      <c r="H22" s="1"/>
      <c r="I22" s="1"/>
      <c r="J22" s="3" t="s">
        <v>1</v>
      </c>
      <c r="K22" s="4" t="s">
        <v>2</v>
      </c>
      <c r="L22" s="66"/>
      <c r="M22" s="20"/>
      <c r="N22" s="1"/>
      <c r="O22" s="3" t="s">
        <v>1</v>
      </c>
      <c r="P22" s="4" t="s">
        <v>2</v>
      </c>
      <c r="Q22" s="66"/>
      <c r="R22" s="20"/>
      <c r="S22" s="1"/>
      <c r="T22" s="1"/>
      <c r="U22" s="1"/>
      <c r="V22" s="1"/>
      <c r="W22" s="1"/>
      <c r="X22" s="1"/>
      <c r="Y22" s="1"/>
      <c r="Z22" s="1"/>
    </row>
    <row r="23" spans="1:26" ht="15.6" x14ac:dyDescent="0.3">
      <c r="A23" s="1"/>
      <c r="B23" s="21" t="s">
        <v>25</v>
      </c>
      <c r="C23" s="118">
        <f t="shared" ref="C23:C26" si="0">SUM(K23,P23)</f>
        <v>150</v>
      </c>
      <c r="D23" s="119" t="s">
        <v>26</v>
      </c>
      <c r="E23" s="1"/>
      <c r="F23" s="1"/>
      <c r="G23" s="1"/>
      <c r="H23" s="1"/>
      <c r="I23" s="1"/>
      <c r="J23" s="7" t="s">
        <v>97</v>
      </c>
      <c r="K23" s="213">
        <v>100</v>
      </c>
      <c r="L23" s="68"/>
      <c r="M23" s="1"/>
      <c r="N23" s="1"/>
      <c r="O23" s="7" t="s">
        <v>97</v>
      </c>
      <c r="P23" s="69">
        <v>50</v>
      </c>
      <c r="Q23" s="68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1"/>
      <c r="B24" s="9" t="s">
        <v>27</v>
      </c>
      <c r="C24" s="98">
        <f t="shared" si="0"/>
        <v>0</v>
      </c>
      <c r="D24" s="99" t="s">
        <v>28</v>
      </c>
      <c r="E24" s="1"/>
      <c r="F24" s="1"/>
      <c r="G24" s="1"/>
      <c r="H24" s="1"/>
      <c r="I24" s="1"/>
      <c r="J24" s="9" t="s">
        <v>27</v>
      </c>
      <c r="K24" s="214">
        <v>0</v>
      </c>
      <c r="L24" s="68"/>
      <c r="M24" s="1"/>
      <c r="N24" s="1"/>
      <c r="O24" s="9" t="s">
        <v>27</v>
      </c>
      <c r="P24" s="71">
        <v>0</v>
      </c>
      <c r="Q24" s="68"/>
      <c r="R24" s="1"/>
      <c r="S24" s="1"/>
      <c r="T24" s="1"/>
      <c r="U24" s="1"/>
      <c r="V24" s="1"/>
      <c r="W24" s="1"/>
      <c r="X24" s="1"/>
      <c r="Y24" s="1"/>
      <c r="Z24" s="1"/>
    </row>
    <row r="25" spans="1:26" ht="15.6" x14ac:dyDescent="0.3">
      <c r="A25" s="1"/>
      <c r="B25" s="9" t="s">
        <v>29</v>
      </c>
      <c r="C25" s="98">
        <f t="shared" si="0"/>
        <v>150</v>
      </c>
      <c r="D25" s="99" t="s">
        <v>30</v>
      </c>
      <c r="E25" s="1"/>
      <c r="F25" s="1"/>
      <c r="G25" s="1"/>
      <c r="H25" s="1"/>
      <c r="I25" s="1"/>
      <c r="J25" s="9" t="s">
        <v>29</v>
      </c>
      <c r="K25" s="126">
        <f>SUM(K23:K24)</f>
        <v>100</v>
      </c>
      <c r="L25" s="68"/>
      <c r="M25" s="1"/>
      <c r="N25" s="1"/>
      <c r="O25" s="9" t="s">
        <v>29</v>
      </c>
      <c r="P25" s="72">
        <f>SUM(P23:P24)</f>
        <v>50</v>
      </c>
      <c r="Q25" s="68"/>
      <c r="R25" s="1"/>
      <c r="S25" s="1"/>
      <c r="T25" s="1"/>
      <c r="U25" s="1"/>
      <c r="V25" s="1"/>
      <c r="W25" s="1"/>
      <c r="X25" s="1"/>
      <c r="Y25" s="1"/>
      <c r="Z25" s="1"/>
    </row>
    <row r="26" spans="1:26" ht="15.6" x14ac:dyDescent="0.3">
      <c r="A26" s="1"/>
      <c r="B26" s="24" t="s">
        <v>31</v>
      </c>
      <c r="C26" s="128">
        <f t="shared" si="0"/>
        <v>10000</v>
      </c>
      <c r="D26" s="129" t="s">
        <v>32</v>
      </c>
      <c r="E26" s="1"/>
      <c r="F26" s="1"/>
      <c r="G26" s="1"/>
      <c r="H26" s="1"/>
      <c r="I26" s="1"/>
      <c r="J26" s="9" t="s">
        <v>31</v>
      </c>
      <c r="K26" s="215">
        <v>5000</v>
      </c>
      <c r="L26" s="68"/>
      <c r="M26" s="1"/>
      <c r="N26" s="1"/>
      <c r="O26" s="9" t="s">
        <v>31</v>
      </c>
      <c r="P26" s="74">
        <v>5000</v>
      </c>
      <c r="Q26" s="68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24" t="s">
        <v>34</v>
      </c>
      <c r="K27" s="216">
        <v>0.09</v>
      </c>
      <c r="L27" s="68"/>
      <c r="M27" s="1"/>
      <c r="N27" s="1"/>
      <c r="O27" s="24" t="s">
        <v>34</v>
      </c>
      <c r="P27" s="76">
        <v>0.09</v>
      </c>
      <c r="Q27" s="68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8" x14ac:dyDescent="0.5">
      <c r="A29" s="1"/>
      <c r="B29" s="27" t="s">
        <v>35</v>
      </c>
      <c r="C29" s="20"/>
      <c r="D29" s="28"/>
      <c r="E29" s="28"/>
      <c r="F29" s="29"/>
      <c r="G29" s="28"/>
      <c r="H29" s="1"/>
      <c r="I29" s="1"/>
      <c r="J29" s="2"/>
      <c r="K29" s="20"/>
      <c r="L29" s="28"/>
      <c r="M29" s="28"/>
      <c r="N29" s="1"/>
      <c r="O29" s="2"/>
      <c r="P29" s="20"/>
      <c r="Q29" s="28"/>
      <c r="R29" s="28"/>
      <c r="S29" s="29"/>
      <c r="T29" s="1"/>
      <c r="U29" s="1"/>
      <c r="V29" s="1"/>
      <c r="W29" s="1"/>
      <c r="X29" s="1"/>
      <c r="Y29" s="1"/>
      <c r="Z29" s="1"/>
    </row>
    <row r="30" spans="1:26" ht="15.6" x14ac:dyDescent="0.3">
      <c r="A30" s="1"/>
      <c r="B30" s="3" t="s">
        <v>1</v>
      </c>
      <c r="C30" s="30" t="s">
        <v>36</v>
      </c>
      <c r="D30" s="30" t="s">
        <v>37</v>
      </c>
      <c r="E30" s="30" t="s">
        <v>38</v>
      </c>
      <c r="F30" s="30" t="s">
        <v>39</v>
      </c>
      <c r="G30" s="30" t="s">
        <v>34</v>
      </c>
      <c r="H30" s="31" t="s">
        <v>29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1"/>
      <c r="B31" s="21" t="s">
        <v>4</v>
      </c>
      <c r="C31" s="152">
        <f>-SUM(L42,Q42)</f>
        <v>275.22935779816515</v>
      </c>
      <c r="D31" s="118"/>
      <c r="E31" s="118"/>
      <c r="F31" s="152"/>
      <c r="G31" s="152">
        <f>-SUM(M42,R42)</f>
        <v>24.77064220183486</v>
      </c>
      <c r="H31" s="153">
        <f t="shared" ref="H31:H33" si="1">SUM(C31:G31)</f>
        <v>300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"/>
      <c r="B32" s="9" t="s">
        <v>40</v>
      </c>
      <c r="C32" s="140">
        <f>SUM(C89)</f>
        <v>4331.0650625521266</v>
      </c>
      <c r="D32" s="140">
        <f>SUM(C88)</f>
        <v>3259.01</v>
      </c>
      <c r="E32" s="141"/>
      <c r="F32" s="140"/>
      <c r="G32" s="140">
        <f>SUM(E48)</f>
        <v>683.10675562969129</v>
      </c>
      <c r="H32" s="142">
        <f t="shared" si="1"/>
        <v>8273.181818181818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"/>
      <c r="B33" s="9" t="s">
        <v>38</v>
      </c>
      <c r="C33" s="141"/>
      <c r="D33" s="140"/>
      <c r="E33" s="140">
        <f>-D44</f>
        <v>809.00750625521277</v>
      </c>
      <c r="F33" s="140"/>
      <c r="G33" s="140">
        <f>-E44</f>
        <v>72.810675562969138</v>
      </c>
      <c r="H33" s="142">
        <f t="shared" si="1"/>
        <v>881.81818181818187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"/>
      <c r="B34" s="36" t="s">
        <v>41</v>
      </c>
      <c r="C34" s="156">
        <f>-E34</f>
        <v>0</v>
      </c>
      <c r="D34" s="156"/>
      <c r="E34" s="156">
        <f>C68</f>
        <v>0</v>
      </c>
      <c r="F34" s="156"/>
      <c r="G34" s="98"/>
      <c r="H34" s="15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"/>
      <c r="B35" s="24" t="s">
        <v>39</v>
      </c>
      <c r="C35" s="210"/>
      <c r="D35" s="156"/>
      <c r="E35" s="156"/>
      <c r="F35" s="156">
        <f>-SUM(D46)</f>
        <v>500</v>
      </c>
      <c r="G35" s="210">
        <f>SUM(F35*C10)</f>
        <v>45</v>
      </c>
      <c r="H35" s="157">
        <f>SUM(C35:G35)</f>
        <v>545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"/>
      <c r="B36" s="79" t="s">
        <v>42</v>
      </c>
      <c r="C36" s="211">
        <f t="shared" ref="C36:H36" si="2">SUM(C31:C35)</f>
        <v>4606.2944203502921</v>
      </c>
      <c r="D36" s="211">
        <f t="shared" si="2"/>
        <v>3259.01</v>
      </c>
      <c r="E36" s="211">
        <f t="shared" si="2"/>
        <v>809.00750625521277</v>
      </c>
      <c r="F36" s="211">
        <f t="shared" si="2"/>
        <v>500</v>
      </c>
      <c r="G36" s="211">
        <f t="shared" si="2"/>
        <v>825.68807339449529</v>
      </c>
      <c r="H36" s="212">
        <f t="shared" si="2"/>
        <v>10000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8" x14ac:dyDescent="0.5">
      <c r="A39" s="1"/>
      <c r="B39" s="2" t="s">
        <v>43</v>
      </c>
      <c r="C39" s="1"/>
      <c r="D39" s="1"/>
      <c r="E39" s="1"/>
      <c r="F39" s="1"/>
      <c r="G39" s="1"/>
      <c r="H39" s="1"/>
      <c r="I39" s="1"/>
      <c r="J39" s="2" t="s">
        <v>44</v>
      </c>
      <c r="K39" s="1"/>
      <c r="L39" s="1"/>
      <c r="M39" s="1"/>
      <c r="N39" s="1"/>
      <c r="O39" s="2" t="s">
        <v>45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"/>
      <c r="B40" s="3" t="s">
        <v>1</v>
      </c>
      <c r="C40" s="30" t="s">
        <v>46</v>
      </c>
      <c r="D40" s="30" t="s">
        <v>47</v>
      </c>
      <c r="E40" s="31" t="s">
        <v>34</v>
      </c>
      <c r="F40" s="1"/>
      <c r="G40" s="1"/>
      <c r="H40" s="1"/>
      <c r="I40" s="1"/>
      <c r="J40" s="40"/>
      <c r="K40" s="30" t="s">
        <v>48</v>
      </c>
      <c r="L40" s="30" t="s">
        <v>49</v>
      </c>
      <c r="M40" s="31" t="s">
        <v>34</v>
      </c>
      <c r="N40" s="1"/>
      <c r="O40" s="40"/>
      <c r="P40" s="30" t="s">
        <v>48</v>
      </c>
      <c r="Q40" s="30" t="s">
        <v>49</v>
      </c>
      <c r="R40" s="31" t="s">
        <v>34</v>
      </c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1"/>
      <c r="B41" s="21" t="s">
        <v>50</v>
      </c>
      <c r="C41" s="32">
        <f>SUM(C26)</f>
        <v>10000</v>
      </c>
      <c r="D41" s="152">
        <f t="shared" ref="D41:E41" si="3">SUM(L41,Q41)</f>
        <v>9174.3119266055055</v>
      </c>
      <c r="E41" s="33">
        <f t="shared" si="3"/>
        <v>825.68807339449529</v>
      </c>
      <c r="F41" s="1"/>
      <c r="G41" s="1"/>
      <c r="H41" s="1"/>
      <c r="I41" s="1"/>
      <c r="J41" s="21" t="s">
        <v>50</v>
      </c>
      <c r="K41" s="152">
        <f>SUM(K26)</f>
        <v>5000</v>
      </c>
      <c r="L41" s="152">
        <f t="shared" ref="L41:L42" si="4">K41-M41</f>
        <v>4587.1559633027528</v>
      </c>
      <c r="M41" s="153">
        <f t="shared" ref="M41:M42" si="5">$K$27*(+K41/(1+$K$27))</f>
        <v>412.84403669724765</v>
      </c>
      <c r="N41" s="1"/>
      <c r="O41" s="21" t="s">
        <v>50</v>
      </c>
      <c r="P41" s="152">
        <f>SUM(P26)</f>
        <v>5000</v>
      </c>
      <c r="Q41" s="152">
        <f t="shared" ref="Q41:Q42" si="6">P41-R41</f>
        <v>4587.1559633027528</v>
      </c>
      <c r="R41" s="153">
        <f>$P27*(+P41/(1+$P$27))</f>
        <v>412.84403669724765</v>
      </c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"/>
      <c r="B42" s="21" t="s">
        <v>4</v>
      </c>
      <c r="C42" s="34">
        <f>-SUM(C23*C4)</f>
        <v>-300</v>
      </c>
      <c r="D42" s="34">
        <f t="shared" ref="D42:E42" si="7">SUM(L42,Q42)</f>
        <v>-275.22935779816515</v>
      </c>
      <c r="E42" s="35">
        <f t="shared" si="7"/>
        <v>-24.77064220183486</v>
      </c>
      <c r="F42" s="1"/>
      <c r="G42" s="1"/>
      <c r="H42" s="1"/>
      <c r="I42" s="1"/>
      <c r="J42" s="9" t="s">
        <v>4</v>
      </c>
      <c r="K42" s="140">
        <f>-SUM(K23*C4)</f>
        <v>-200</v>
      </c>
      <c r="L42" s="140">
        <f t="shared" si="4"/>
        <v>-183.48623853211009</v>
      </c>
      <c r="M42" s="142">
        <f t="shared" si="5"/>
        <v>-16.513761467889907</v>
      </c>
      <c r="N42" s="1"/>
      <c r="O42" s="9" t="s">
        <v>4</v>
      </c>
      <c r="P42" s="140">
        <f>-SUM(C4*P23)</f>
        <v>-100</v>
      </c>
      <c r="Q42" s="140">
        <f t="shared" si="6"/>
        <v>-91.743119266055047</v>
      </c>
      <c r="R42" s="142">
        <f>$P$27*(+P42/(1+$P$27))</f>
        <v>-8.2568807339449535</v>
      </c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"/>
      <c r="B43" s="9" t="s">
        <v>51</v>
      </c>
      <c r="C43" s="34">
        <f t="shared" ref="C43:E43" si="8">SUM(C41:C42)</f>
        <v>9700</v>
      </c>
      <c r="D43" s="34">
        <f t="shared" si="8"/>
        <v>8899.0825688073401</v>
      </c>
      <c r="E43" s="35">
        <f t="shared" si="8"/>
        <v>800.91743119266039</v>
      </c>
      <c r="F43" s="1"/>
      <c r="G43" s="1"/>
      <c r="H43" s="1"/>
      <c r="I43" s="1"/>
      <c r="J43" s="9" t="s">
        <v>51</v>
      </c>
      <c r="K43" s="140">
        <f t="shared" ref="K43:M43" si="9">SUM(K41:K42)</f>
        <v>4800</v>
      </c>
      <c r="L43" s="140">
        <f t="shared" si="9"/>
        <v>4403.6697247706425</v>
      </c>
      <c r="M43" s="142">
        <f t="shared" si="9"/>
        <v>396.33027522935777</v>
      </c>
      <c r="N43" s="1"/>
      <c r="O43" s="9" t="s">
        <v>51</v>
      </c>
      <c r="P43" s="140">
        <f t="shared" ref="P43:R43" si="10">SUM(P41:P42)</f>
        <v>4900</v>
      </c>
      <c r="Q43" s="140">
        <f t="shared" si="10"/>
        <v>4495.4128440366976</v>
      </c>
      <c r="R43" s="142">
        <f t="shared" si="10"/>
        <v>404.58715596330268</v>
      </c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"/>
      <c r="B44" s="9" t="s">
        <v>38</v>
      </c>
      <c r="C44" s="34">
        <f t="shared" ref="C44:E44" si="11">SUM(K44,P44)</f>
        <v>-881.81818181818187</v>
      </c>
      <c r="D44" s="34">
        <f t="shared" si="11"/>
        <v>-809.00750625521277</v>
      </c>
      <c r="E44" s="35">
        <f t="shared" si="11"/>
        <v>-72.810675562969138</v>
      </c>
      <c r="F44" s="1"/>
      <c r="G44" s="1"/>
      <c r="H44" s="1"/>
      <c r="I44" s="1"/>
      <c r="J44" s="9" t="s">
        <v>38</v>
      </c>
      <c r="K44" s="140">
        <f>SUM(L44,M44)</f>
        <v>-436.36363636363637</v>
      </c>
      <c r="L44" s="140">
        <f>-(+L43*C72)</f>
        <v>-400.33361134278567</v>
      </c>
      <c r="M44" s="142">
        <f>L44*$K$27</f>
        <v>-36.030025020850708</v>
      </c>
      <c r="N44" s="1"/>
      <c r="O44" s="9" t="s">
        <v>38</v>
      </c>
      <c r="P44" s="140">
        <f>SUM(Q44,R44)</f>
        <v>-445.4545454545455</v>
      </c>
      <c r="Q44" s="140">
        <f>-(+Q43*C72)</f>
        <v>-408.67389491242704</v>
      </c>
      <c r="R44" s="142">
        <f>Q44*$P$27</f>
        <v>-36.78065054211843</v>
      </c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"/>
      <c r="B45" s="36" t="s">
        <v>52</v>
      </c>
      <c r="C45" s="37">
        <f t="shared" ref="C45:E45" si="12">SUM(K45,P45)</f>
        <v>8818.181818181818</v>
      </c>
      <c r="D45" s="37">
        <f t="shared" si="12"/>
        <v>8090.0750625521268</v>
      </c>
      <c r="E45" s="38">
        <f t="shared" si="12"/>
        <v>728.10675562969129</v>
      </c>
      <c r="F45" s="1"/>
      <c r="G45" s="1"/>
      <c r="H45" s="1"/>
      <c r="I45" s="1"/>
      <c r="J45" s="24" t="s">
        <v>52</v>
      </c>
      <c r="K45" s="128">
        <f t="shared" ref="K45:M45" si="13">SUM(K43,K44)</f>
        <v>4363.636363636364</v>
      </c>
      <c r="L45" s="128">
        <f t="shared" si="13"/>
        <v>4003.3361134278566</v>
      </c>
      <c r="M45" s="158">
        <f t="shared" si="13"/>
        <v>360.30025020850707</v>
      </c>
      <c r="N45" s="1"/>
      <c r="O45" s="24" t="s">
        <v>52</v>
      </c>
      <c r="P45" s="128">
        <f t="shared" ref="P45:R45" si="14">SUM(P43,P44)</f>
        <v>4454.545454545454</v>
      </c>
      <c r="Q45" s="128">
        <f t="shared" si="14"/>
        <v>4086.7389491242707</v>
      </c>
      <c r="R45" s="158">
        <f t="shared" si="14"/>
        <v>367.80650542118423</v>
      </c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1"/>
      <c r="B46" s="9" t="s">
        <v>39</v>
      </c>
      <c r="C46" s="34">
        <f>SUM(D46+E46)</f>
        <v>-545</v>
      </c>
      <c r="D46" s="34">
        <f>-SUM(C18)</f>
        <v>-500</v>
      </c>
      <c r="E46" s="35">
        <f>SUM(D46)*C10</f>
        <v>-45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"/>
      <c r="B47" s="24" t="s">
        <v>53</v>
      </c>
      <c r="C47" s="25">
        <f t="shared" ref="C47:E47" si="15">SUM(C45:C46)</f>
        <v>8273.181818181818</v>
      </c>
      <c r="D47" s="25">
        <f t="shared" si="15"/>
        <v>7590.0750625521268</v>
      </c>
      <c r="E47" s="25">
        <f t="shared" si="15"/>
        <v>683.10675562969129</v>
      </c>
      <c r="F47" s="1"/>
      <c r="G47" s="1"/>
      <c r="H47" s="1"/>
      <c r="I47" s="1"/>
      <c r="J47" s="1"/>
      <c r="K47" s="42"/>
      <c r="L47" s="42"/>
      <c r="M47" s="42"/>
      <c r="N47" s="1"/>
      <c r="O47" s="1"/>
      <c r="P47" s="42"/>
      <c r="Q47" s="42"/>
      <c r="R47" s="42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"/>
      <c r="B48" s="1"/>
      <c r="C48" s="20" t="s">
        <v>42</v>
      </c>
      <c r="D48" s="43">
        <f t="shared" ref="D48:E48" si="16">IF(D47&lt;0,0,D47)</f>
        <v>7590.0750625521268</v>
      </c>
      <c r="E48" s="43">
        <f t="shared" si="16"/>
        <v>683.10675562969129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8" x14ac:dyDescent="0.5">
      <c r="A50" s="1"/>
      <c r="B50" s="2" t="s">
        <v>54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"/>
      <c r="B51" s="3" t="s">
        <v>1</v>
      </c>
      <c r="C51" s="4" t="s">
        <v>55</v>
      </c>
      <c r="D51" s="4" t="s">
        <v>56</v>
      </c>
      <c r="E51" s="4" t="s">
        <v>57</v>
      </c>
      <c r="F51" s="4" t="s">
        <v>58</v>
      </c>
      <c r="G51" s="4" t="s">
        <v>59</v>
      </c>
      <c r="H51" s="6" t="s">
        <v>60</v>
      </c>
      <c r="I51" s="20"/>
      <c r="J51" s="8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1"/>
      <c r="B52" s="21" t="s">
        <v>61</v>
      </c>
      <c r="C52" s="152">
        <f t="shared" ref="C52:C55" si="17">+D12</f>
        <v>2000</v>
      </c>
      <c r="D52" s="152">
        <f>+D48</f>
        <v>7590.0750625521268</v>
      </c>
      <c r="E52" s="152">
        <f t="shared" ref="E52:E56" si="18">IF(D52&gt;C52,+C52,D52)</f>
        <v>2000</v>
      </c>
      <c r="F52" s="152">
        <f t="shared" ref="F52:F56" si="19">ROUND(+E52*C12,2)</f>
        <v>1600</v>
      </c>
      <c r="G52" s="152">
        <f t="shared" ref="G52:G56" si="20">+E52-F52</f>
        <v>400</v>
      </c>
      <c r="H52" s="153">
        <f t="shared" ref="H52:H57" si="21">IF(+D52-F52-G52&lt;0,0,+D52-F52-G52)</f>
        <v>5590.0750625521268</v>
      </c>
      <c r="I52" s="5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"/>
      <c r="B53" s="9" t="s">
        <v>62</v>
      </c>
      <c r="C53" s="140">
        <f t="shared" si="17"/>
        <v>2000</v>
      </c>
      <c r="D53" s="140">
        <f t="shared" ref="D53:D57" si="22">+H52</f>
        <v>5590.0750625521268</v>
      </c>
      <c r="E53" s="140">
        <f t="shared" si="18"/>
        <v>2000</v>
      </c>
      <c r="F53" s="140">
        <f t="shared" si="19"/>
        <v>1000</v>
      </c>
      <c r="G53" s="140">
        <f t="shared" si="20"/>
        <v>1000</v>
      </c>
      <c r="H53" s="142">
        <f t="shared" si="21"/>
        <v>3590.0750625521268</v>
      </c>
      <c r="I53" s="5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"/>
      <c r="B54" s="9" t="s">
        <v>63</v>
      </c>
      <c r="C54" s="140">
        <f t="shared" si="17"/>
        <v>2000</v>
      </c>
      <c r="D54" s="140">
        <f t="shared" si="22"/>
        <v>3590.0750625521268</v>
      </c>
      <c r="E54" s="140">
        <f t="shared" si="18"/>
        <v>2000</v>
      </c>
      <c r="F54" s="140">
        <f t="shared" si="19"/>
        <v>500</v>
      </c>
      <c r="G54" s="140">
        <f t="shared" si="20"/>
        <v>1500</v>
      </c>
      <c r="H54" s="142">
        <f t="shared" si="21"/>
        <v>1590.0750625521268</v>
      </c>
      <c r="I54" s="5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"/>
      <c r="B55" s="9" t="s">
        <v>64</v>
      </c>
      <c r="C55" s="140">
        <f t="shared" si="17"/>
        <v>2000</v>
      </c>
      <c r="D55" s="140">
        <f t="shared" si="22"/>
        <v>1590.0750625521268</v>
      </c>
      <c r="E55" s="140">
        <f t="shared" si="18"/>
        <v>1590.0750625521268</v>
      </c>
      <c r="F55" s="140">
        <f t="shared" si="19"/>
        <v>159.01</v>
      </c>
      <c r="G55" s="140">
        <f t="shared" si="20"/>
        <v>1431.0650625521268</v>
      </c>
      <c r="H55" s="142">
        <f t="shared" si="21"/>
        <v>0</v>
      </c>
      <c r="I55" s="5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"/>
      <c r="B56" s="9"/>
      <c r="C56" s="98">
        <v>0</v>
      </c>
      <c r="D56" s="140">
        <f t="shared" si="22"/>
        <v>0</v>
      </c>
      <c r="E56" s="140">
        <f t="shared" si="18"/>
        <v>0</v>
      </c>
      <c r="F56" s="140">
        <f t="shared" si="19"/>
        <v>0</v>
      </c>
      <c r="G56" s="140">
        <f t="shared" si="20"/>
        <v>0</v>
      </c>
      <c r="H56" s="142">
        <f t="shared" si="21"/>
        <v>0</v>
      </c>
      <c r="I56" s="5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"/>
      <c r="B57" s="9"/>
      <c r="C57" s="140">
        <f>SUM(C52:C56)</f>
        <v>8000</v>
      </c>
      <c r="D57" s="140">
        <f t="shared" si="22"/>
        <v>0</v>
      </c>
      <c r="E57" s="217">
        <f t="shared" ref="E57:G57" si="23">SUM(E52:E56)</f>
        <v>7590.0750625521268</v>
      </c>
      <c r="F57" s="217">
        <f t="shared" si="23"/>
        <v>3259.01</v>
      </c>
      <c r="G57" s="217">
        <f t="shared" si="23"/>
        <v>4331.0650625521266</v>
      </c>
      <c r="H57" s="142">
        <f t="shared" si="21"/>
        <v>0</v>
      </c>
      <c r="I57" s="5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"/>
      <c r="B58" s="24"/>
      <c r="C58" s="176"/>
      <c r="D58" s="176"/>
      <c r="E58" s="176"/>
      <c r="F58" s="176" t="str">
        <f>IF(+G57+F57=E57,"OK","Fout")</f>
        <v>OK</v>
      </c>
      <c r="G58" s="176" t="str">
        <f>IF(+G57+F57=D48,"OK","Fout")</f>
        <v>OK</v>
      </c>
      <c r="H58" s="12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8" x14ac:dyDescent="0.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8" x14ac:dyDescent="0.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8" x14ac:dyDescent="0.5">
      <c r="A61" s="1"/>
      <c r="B61" s="2" t="s">
        <v>65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1"/>
      <c r="B62" s="20" t="s">
        <v>66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"/>
      <c r="B63" s="21" t="s">
        <v>105</v>
      </c>
      <c r="C63" s="152">
        <f>D43</f>
        <v>8899.0825688073401</v>
      </c>
      <c r="D63" s="11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1"/>
      <c r="B64" s="9" t="s">
        <v>68</v>
      </c>
      <c r="C64" s="140">
        <f>+C77</f>
        <v>1000</v>
      </c>
      <c r="D64" s="9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"/>
      <c r="B65" s="9" t="s">
        <v>69</v>
      </c>
      <c r="C65" s="169">
        <f>IF(+C64-C63&gt;0,+C64-C63,0)</f>
        <v>0</v>
      </c>
      <c r="D65" s="99" t="s">
        <v>70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1"/>
      <c r="B66" s="9" t="str">
        <f>IF(+C65&gt;0,"AR herrekening","Geen AR herrekening")</f>
        <v>Geen AR herrekening</v>
      </c>
      <c r="C66" s="98">
        <f>IF(+C65&gt;0,+ROUND(+C64*C6,2),0)</f>
        <v>0</v>
      </c>
      <c r="D66" s="99" t="s">
        <v>71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1"/>
      <c r="B67" s="9" t="s">
        <v>72</v>
      </c>
      <c r="C67" s="140">
        <f>E33</f>
        <v>809.00750625521277</v>
      </c>
      <c r="D67" s="9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1"/>
      <c r="B68" s="24" t="s">
        <v>73</v>
      </c>
      <c r="C68" s="128">
        <f>IF(C65&gt;0,+C66-C67,0)</f>
        <v>0</v>
      </c>
      <c r="D68" s="12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"/>
      <c r="B69" s="1"/>
      <c r="C69" s="82"/>
      <c r="D69" s="8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1"/>
      <c r="B70" s="20" t="s">
        <v>74</v>
      </c>
      <c r="C70" s="82"/>
      <c r="D70" s="8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1"/>
      <c r="B71" s="21" t="s">
        <v>106</v>
      </c>
      <c r="C71" s="152">
        <f>+C23*(C4/1.06)</f>
        <v>283.01886792452825</v>
      </c>
      <c r="D71" s="118"/>
      <c r="E71" s="55"/>
      <c r="F71" s="22"/>
      <c r="G71" s="22"/>
      <c r="H71" s="22"/>
      <c r="I71" s="22"/>
      <c r="J71" s="22"/>
      <c r="K71" s="56"/>
      <c r="L71" s="22"/>
      <c r="M71" s="22"/>
      <c r="N71" s="22"/>
      <c r="O71" s="22"/>
      <c r="P71" s="56"/>
      <c r="Q71" s="22"/>
      <c r="R71" s="23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1"/>
      <c r="B72" s="9" t="s">
        <v>75</v>
      </c>
      <c r="C72" s="172">
        <f>IF(C7="j",+C6/(1+C6),+C6)</f>
        <v>9.0909090909090912E-2</v>
      </c>
      <c r="D72" s="9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7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1"/>
      <c r="B73" s="9" t="s">
        <v>76</v>
      </c>
      <c r="C73" s="140">
        <f>SUM(K73,P73)</f>
        <v>825.68</v>
      </c>
      <c r="D73" s="98"/>
      <c r="E73" s="58"/>
      <c r="F73" s="10"/>
      <c r="G73" s="10"/>
      <c r="H73" s="10"/>
      <c r="I73" s="10"/>
      <c r="J73" s="10"/>
      <c r="K73" s="141">
        <f>ROUND(K27*(+K26/(1+K27)),2)</f>
        <v>412.84</v>
      </c>
      <c r="L73" s="10"/>
      <c r="M73" s="10"/>
      <c r="N73" s="10"/>
      <c r="O73" s="10"/>
      <c r="P73" s="141">
        <f>ROUND(P27*(+P26/(1+P27)),2)</f>
        <v>412.84</v>
      </c>
      <c r="Q73" s="10"/>
      <c r="R73" s="11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1"/>
      <c r="B74" s="24" t="s">
        <v>77</v>
      </c>
      <c r="C74" s="175" t="str">
        <f>IF(C7="J","10/110","10/100")</f>
        <v>10/110</v>
      </c>
      <c r="D74" s="176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60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1"/>
      <c r="B75" s="1"/>
      <c r="C75" s="82"/>
      <c r="D75" s="8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1"/>
      <c r="B76" s="20" t="s">
        <v>78</v>
      </c>
      <c r="C76" s="82"/>
      <c r="D76" s="8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1"/>
      <c r="B77" s="21" t="s">
        <v>79</v>
      </c>
      <c r="C77" s="152">
        <f>IF(C8&gt;0,C8,C9)</f>
        <v>1000</v>
      </c>
      <c r="D77" s="11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1"/>
      <c r="B78" s="24" t="s">
        <v>80</v>
      </c>
      <c r="C78" s="175" t="str">
        <f>IF(C8&gt;0,"aanbieder","afnemer")</f>
        <v>aanbieder</v>
      </c>
      <c r="D78" s="12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1"/>
      <c r="B79" s="61"/>
      <c r="C79" s="179"/>
      <c r="D79" s="179"/>
      <c r="E79" s="6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1"/>
      <c r="B80" s="20" t="s">
        <v>81</v>
      </c>
      <c r="C80" s="82"/>
      <c r="D80" s="8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1"/>
      <c r="B81" s="62"/>
      <c r="C81" s="181" t="s">
        <v>58</v>
      </c>
      <c r="D81" s="182" t="s">
        <v>59</v>
      </c>
      <c r="E81" s="2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1"/>
      <c r="B82" s="63" t="s">
        <v>82</v>
      </c>
      <c r="C82" s="140">
        <f t="shared" ref="C82:D82" si="24">F57</f>
        <v>3259.01</v>
      </c>
      <c r="D82" s="142">
        <f t="shared" si="24"/>
        <v>4331.0650625521266</v>
      </c>
      <c r="E82" s="5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1"/>
      <c r="B83" s="63" t="s">
        <v>83</v>
      </c>
      <c r="C83" s="140">
        <f>IF(C78="aanbieder",C77,0)</f>
        <v>1000</v>
      </c>
      <c r="D83" s="142">
        <f>IF(C78="afnemer",C77,0)</f>
        <v>0</v>
      </c>
      <c r="E83" s="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1"/>
      <c r="B84" s="63" t="s">
        <v>84</v>
      </c>
      <c r="C84" s="140">
        <f t="shared" ref="C84:D84" si="25">C82-C83</f>
        <v>2259.0100000000002</v>
      </c>
      <c r="D84" s="142">
        <f t="shared" si="25"/>
        <v>4331.0650625521266</v>
      </c>
      <c r="E84" s="6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1"/>
      <c r="B85" s="65" t="s">
        <v>85</v>
      </c>
      <c r="C85" s="186" t="b">
        <f>IF(C84&lt;0,TRUE,FALSE)</f>
        <v>0</v>
      </c>
      <c r="D85" s="186" t="b">
        <f>IF(D84&lt;-0.01,TRUE,FALSE)</f>
        <v>0</v>
      </c>
      <c r="E85" s="2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 x14ac:dyDescent="0.3">
      <c r="A86" s="1"/>
      <c r="B86" s="9" t="s">
        <v>86</v>
      </c>
      <c r="C86" s="98" t="b">
        <f>AND(C85=FALSE,D85=FALSE)</f>
        <v>1</v>
      </c>
      <c r="D86" s="9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 x14ac:dyDescent="0.3">
      <c r="A87" s="1"/>
      <c r="B87" s="9"/>
      <c r="C87" s="98"/>
      <c r="D87" s="9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 x14ac:dyDescent="0.3">
      <c r="A88" s="1"/>
      <c r="B88" s="9" t="s">
        <v>107</v>
      </c>
      <c r="C88" s="203">
        <f>IF(C86=TRUE,C82,(IF(C85=TRUE,C83,D48-D83)))</f>
        <v>3259.01</v>
      </c>
      <c r="D88" s="9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 x14ac:dyDescent="0.3">
      <c r="A89" s="1"/>
      <c r="B89" s="9" t="s">
        <v>108</v>
      </c>
      <c r="C89" s="203">
        <f>IF(C86=TRUE,D82,(IF(D85=TRUE,D83,D48-C83)))</f>
        <v>4331.0650625521266</v>
      </c>
      <c r="D89" s="9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 x14ac:dyDescent="0.3">
      <c r="A90" s="1"/>
      <c r="B90" s="9" t="s">
        <v>89</v>
      </c>
      <c r="C90" s="98"/>
      <c r="D90" s="9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 x14ac:dyDescent="0.3">
      <c r="A91" s="1"/>
      <c r="B91" s="9" t="s">
        <v>90</v>
      </c>
      <c r="C91" s="140">
        <f>IF(C78="aanbieder",F56-C8)</f>
        <v>-1000</v>
      </c>
      <c r="D91" s="142">
        <f t="shared" ref="D91:D92" si="26">IF(C91=FALSE,0,C91)</f>
        <v>-1000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 x14ac:dyDescent="0.3">
      <c r="A92" s="1"/>
      <c r="B92" s="24"/>
      <c r="C92" s="176" t="b">
        <f>IF(C78="afnemer",G56-C9)</f>
        <v>0</v>
      </c>
      <c r="D92" s="129">
        <f t="shared" si="26"/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VIexuIxNaCnNvFkXhNBU/ah0GmJQXln/qurerXkubcLtnaVIQH8FDzgI+UwBCnlUE7suAcfoLHeI2dvsKNV77Q==" saltValue="xtO1kxs/6TsBB3OX2PR0fA==" spinCount="100000" sheet="1" objects="1" scenarios="1"/>
  <conditionalFormatting sqref="D65:E65">
    <cfRule type="expression" dxfId="7" priority="1">
      <formula>+#REF!&gt;C65</formula>
    </cfRule>
  </conditionalFormatting>
  <conditionalFormatting sqref="D12:D15">
    <cfRule type="cellIs" dxfId="6" priority="2" operator="lessThan">
      <formula>0</formula>
    </cfRule>
  </conditionalFormatting>
  <conditionalFormatting sqref="D69:E69">
    <cfRule type="expression" dxfId="5" priority="3">
      <formula>+#REF!&gt;C69</formula>
    </cfRule>
  </conditionalFormatting>
  <conditionalFormatting sqref="D66:E68">
    <cfRule type="expression" dxfId="4" priority="4">
      <formula>+#REF!&gt;C66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zoomScale="80" zoomScaleNormal="80" workbookViewId="0">
      <selection activeCell="C5" sqref="C5"/>
    </sheetView>
  </sheetViews>
  <sheetFormatPr defaultColWidth="11.19921875" defaultRowHeight="15" customHeight="1" x14ac:dyDescent="0.3"/>
  <cols>
    <col min="1" max="1" width="6.59765625" customWidth="1"/>
    <col min="2" max="2" width="28.19921875" customWidth="1"/>
    <col min="3" max="3" width="13.5" customWidth="1"/>
    <col min="4" max="4" width="19.59765625" customWidth="1"/>
    <col min="5" max="5" width="16.296875" customWidth="1"/>
    <col min="6" max="6" width="15.59765625" customWidth="1"/>
    <col min="7" max="7" width="6.59765625" customWidth="1"/>
    <col min="8" max="8" width="33.69921875" customWidth="1"/>
    <col min="9" max="9" width="16.09765625" customWidth="1"/>
    <col min="10" max="10" width="19.59765625" customWidth="1"/>
    <col min="11" max="11" width="13.3984375" customWidth="1"/>
    <col min="12" max="12" width="6.59765625" customWidth="1"/>
    <col min="13" max="13" width="33.69921875" customWidth="1"/>
    <col min="14" max="14" width="17.3984375" customWidth="1"/>
    <col min="15" max="15" width="14.5" customWidth="1"/>
    <col min="16" max="16" width="14.19921875" customWidth="1"/>
    <col min="17" max="26" width="6.59765625" customWidth="1"/>
  </cols>
  <sheetData>
    <row r="1" spans="1:26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8" x14ac:dyDescent="0.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 x14ac:dyDescent="0.3">
      <c r="A3" s="1"/>
      <c r="B3" s="3" t="s">
        <v>1</v>
      </c>
      <c r="C3" s="4" t="s">
        <v>2</v>
      </c>
      <c r="D3" s="6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3">
      <c r="A4" s="1"/>
      <c r="B4" s="21" t="s">
        <v>4</v>
      </c>
      <c r="C4" s="205">
        <v>1.5</v>
      </c>
      <c r="D4" s="23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1"/>
      <c r="B5" s="9" t="s">
        <v>109</v>
      </c>
      <c r="C5" s="205">
        <v>3500</v>
      </c>
      <c r="D5" s="11" t="s">
        <v>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 x14ac:dyDescent="0.3">
      <c r="A6" s="1"/>
      <c r="B6" s="24" t="s">
        <v>110</v>
      </c>
      <c r="C6" s="205">
        <v>500</v>
      </c>
      <c r="D6" s="2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8" x14ac:dyDescent="0.5">
      <c r="A9" s="1"/>
      <c r="B9" s="2" t="s">
        <v>22</v>
      </c>
      <c r="C9" s="1"/>
      <c r="D9" s="1"/>
      <c r="E9" s="1"/>
      <c r="F9" s="1"/>
      <c r="G9" s="1"/>
      <c r="H9" s="19" t="s">
        <v>111</v>
      </c>
      <c r="I9" s="1"/>
      <c r="J9" s="1"/>
      <c r="K9" s="1"/>
      <c r="L9" s="1"/>
      <c r="M9" s="19" t="s">
        <v>112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6" x14ac:dyDescent="0.3">
      <c r="A10" s="1"/>
      <c r="B10" s="3" t="s">
        <v>1</v>
      </c>
      <c r="C10" s="4" t="s">
        <v>2</v>
      </c>
      <c r="D10" s="6" t="s">
        <v>3</v>
      </c>
      <c r="E10" s="1"/>
      <c r="F10" s="1"/>
      <c r="G10" s="1"/>
      <c r="H10" s="3" t="s">
        <v>1</v>
      </c>
      <c r="I10" s="4" t="s">
        <v>2</v>
      </c>
      <c r="J10" s="66"/>
      <c r="K10" s="1"/>
      <c r="L10" s="1"/>
      <c r="M10" s="3" t="s">
        <v>1</v>
      </c>
      <c r="N10" s="4" t="s">
        <v>2</v>
      </c>
      <c r="O10" s="6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1"/>
      <c r="B11" s="21" t="s">
        <v>25</v>
      </c>
      <c r="C11" s="118">
        <f t="shared" ref="C11:C14" si="0">SUM(I11,N11)</f>
        <v>100</v>
      </c>
      <c r="D11" s="23" t="s">
        <v>113</v>
      </c>
      <c r="E11" s="1"/>
      <c r="F11" s="1"/>
      <c r="G11" s="1"/>
      <c r="H11" s="7" t="s">
        <v>97</v>
      </c>
      <c r="I11" s="213">
        <v>50</v>
      </c>
      <c r="J11" s="68"/>
      <c r="K11" s="1"/>
      <c r="L11" s="1"/>
      <c r="M11" s="7" t="s">
        <v>97</v>
      </c>
      <c r="N11" s="122">
        <v>50</v>
      </c>
      <c r="O11" s="6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6" x14ac:dyDescent="0.3">
      <c r="A12" s="1"/>
      <c r="B12" s="9" t="s">
        <v>27</v>
      </c>
      <c r="C12" s="98">
        <f t="shared" si="0"/>
        <v>0</v>
      </c>
      <c r="D12" s="11" t="s">
        <v>114</v>
      </c>
      <c r="E12" s="1"/>
      <c r="F12" s="1"/>
      <c r="G12" s="1"/>
      <c r="H12" s="9" t="s">
        <v>27</v>
      </c>
      <c r="I12" s="214">
        <v>0</v>
      </c>
      <c r="J12" s="68"/>
      <c r="K12" s="1"/>
      <c r="L12" s="1"/>
      <c r="M12" s="9" t="s">
        <v>27</v>
      </c>
      <c r="N12" s="124">
        <v>0</v>
      </c>
      <c r="O12" s="6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 x14ac:dyDescent="0.3">
      <c r="A13" s="1"/>
      <c r="B13" s="9" t="s">
        <v>29</v>
      </c>
      <c r="C13" s="98">
        <f t="shared" si="0"/>
        <v>100</v>
      </c>
      <c r="D13" s="11" t="s">
        <v>115</v>
      </c>
      <c r="E13" s="1"/>
      <c r="F13" s="1"/>
      <c r="G13" s="1"/>
      <c r="H13" s="9" t="s">
        <v>29</v>
      </c>
      <c r="I13" s="126">
        <f>SUM(I11:I12)</f>
        <v>50</v>
      </c>
      <c r="J13" s="68"/>
      <c r="K13" s="1"/>
      <c r="L13" s="1"/>
      <c r="M13" s="9" t="s">
        <v>29</v>
      </c>
      <c r="N13" s="126">
        <f>SUM(N11:N12)</f>
        <v>50</v>
      </c>
      <c r="O13" s="6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3">
      <c r="A14" s="1"/>
      <c r="B14" s="24" t="s">
        <v>31</v>
      </c>
      <c r="C14" s="128">
        <f t="shared" si="0"/>
        <v>10000</v>
      </c>
      <c r="D14" s="26" t="s">
        <v>116</v>
      </c>
      <c r="E14" s="1"/>
      <c r="F14" s="1"/>
      <c r="G14" s="1"/>
      <c r="H14" s="9" t="s">
        <v>31</v>
      </c>
      <c r="I14" s="215">
        <v>5000</v>
      </c>
      <c r="J14" s="68"/>
      <c r="K14" s="1"/>
      <c r="L14" s="1"/>
      <c r="M14" s="9" t="s">
        <v>31</v>
      </c>
      <c r="N14" s="131">
        <v>5000</v>
      </c>
      <c r="O14" s="6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3">
      <c r="A15" s="1"/>
      <c r="B15" s="1"/>
      <c r="C15" s="1"/>
      <c r="D15" s="1"/>
      <c r="E15" s="1"/>
      <c r="F15" s="1"/>
      <c r="G15" s="1"/>
      <c r="H15" s="24" t="s">
        <v>34</v>
      </c>
      <c r="I15" s="216">
        <v>0.09</v>
      </c>
      <c r="J15" s="68"/>
      <c r="K15" s="1"/>
      <c r="L15" s="1"/>
      <c r="M15" s="24" t="s">
        <v>34</v>
      </c>
      <c r="N15" s="133">
        <v>0.25</v>
      </c>
      <c r="O15" s="6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8" x14ac:dyDescent="0.5">
      <c r="A17" s="1"/>
      <c r="B17" s="27" t="s">
        <v>35</v>
      </c>
      <c r="C17" s="20"/>
      <c r="D17" s="28"/>
      <c r="E17" s="29"/>
      <c r="F17" s="2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1"/>
      <c r="B18" s="3" t="s">
        <v>1</v>
      </c>
      <c r="C18" s="30" t="s">
        <v>36</v>
      </c>
      <c r="D18" s="30" t="s">
        <v>37</v>
      </c>
      <c r="E18" s="30" t="s">
        <v>34</v>
      </c>
      <c r="F18" s="31" t="s">
        <v>29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3">
      <c r="A19" s="1"/>
      <c r="B19" s="21" t="s">
        <v>4</v>
      </c>
      <c r="C19" s="152">
        <f>-SUM(J29,O29)</f>
        <v>128.8073394495413</v>
      </c>
      <c r="D19" s="118"/>
      <c r="E19" s="152">
        <f>-SUM(K29,P29)</f>
        <v>21.192660550458715</v>
      </c>
      <c r="F19" s="153">
        <f>SUM(C19:E19)</f>
        <v>150.00000000000003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1"/>
      <c r="B20" s="9" t="s">
        <v>40</v>
      </c>
      <c r="C20" s="82"/>
      <c r="D20" s="140">
        <f t="shared" ref="D20:E20" si="1">SUM(J30,O30)</f>
        <v>8458.3486238532114</v>
      </c>
      <c r="E20" s="140">
        <f t="shared" si="1"/>
        <v>1391.6513761467891</v>
      </c>
      <c r="F20" s="142">
        <f>SUM(D20:E20)</f>
        <v>9850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6" x14ac:dyDescent="0.3">
      <c r="A21" s="1"/>
      <c r="B21" s="9" t="s">
        <v>110</v>
      </c>
      <c r="C21" s="140">
        <f>SUM(C6)</f>
        <v>500</v>
      </c>
      <c r="D21" s="140">
        <f t="shared" ref="D21:D22" si="2">-C21</f>
        <v>-500</v>
      </c>
      <c r="E21" s="141"/>
      <c r="F21" s="242">
        <f t="shared" ref="F21:F22" si="3">SUM(C21:E21)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x14ac:dyDescent="0.3">
      <c r="A22" s="1"/>
      <c r="B22" s="36" t="s">
        <v>117</v>
      </c>
      <c r="C22" s="156">
        <f>SUM(C5)</f>
        <v>3500</v>
      </c>
      <c r="D22" s="156">
        <f t="shared" si="2"/>
        <v>-3500</v>
      </c>
      <c r="E22" s="210"/>
      <c r="F22" s="243">
        <f t="shared" si="3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x14ac:dyDescent="0.3">
      <c r="A23" s="1"/>
      <c r="B23" s="79" t="s">
        <v>42</v>
      </c>
      <c r="C23" s="211">
        <f t="shared" ref="C23:F23" si="4">SUM(C19:C22)</f>
        <v>4128.8073394495414</v>
      </c>
      <c r="D23" s="211">
        <f t="shared" si="4"/>
        <v>4458.3486238532114</v>
      </c>
      <c r="E23" s="211">
        <f t="shared" si="4"/>
        <v>1412.8440366972477</v>
      </c>
      <c r="F23" s="212">
        <f t="shared" si="4"/>
        <v>10000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8" x14ac:dyDescent="0.5">
      <c r="A26" s="1"/>
      <c r="B26" s="2" t="s">
        <v>43</v>
      </c>
      <c r="C26" s="1"/>
      <c r="D26" s="1"/>
      <c r="E26" s="1"/>
      <c r="F26" s="1"/>
      <c r="G26" s="1"/>
      <c r="H26" s="2" t="s">
        <v>44</v>
      </c>
      <c r="I26" s="1"/>
      <c r="J26" s="1"/>
      <c r="K26" s="1"/>
      <c r="L26" s="1"/>
      <c r="M26" s="2" t="s">
        <v>45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x14ac:dyDescent="0.3">
      <c r="A27" s="1"/>
      <c r="B27" s="3" t="s">
        <v>1</v>
      </c>
      <c r="C27" s="80" t="s">
        <v>46</v>
      </c>
      <c r="D27" s="80" t="s">
        <v>47</v>
      </c>
      <c r="E27" s="81" t="s">
        <v>34</v>
      </c>
      <c r="F27" s="1"/>
      <c r="G27" s="1"/>
      <c r="H27" s="40"/>
      <c r="I27" s="30" t="s">
        <v>46</v>
      </c>
      <c r="J27" s="30" t="s">
        <v>47</v>
      </c>
      <c r="K27" s="31" t="s">
        <v>34</v>
      </c>
      <c r="L27" s="1"/>
      <c r="M27" s="40"/>
      <c r="N27" s="30" t="s">
        <v>46</v>
      </c>
      <c r="O27" s="30" t="s">
        <v>47</v>
      </c>
      <c r="P27" s="31" t="s">
        <v>34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x14ac:dyDescent="0.3">
      <c r="A28" s="1"/>
      <c r="B28" s="21" t="s">
        <v>50</v>
      </c>
      <c r="C28" s="152">
        <f>SUM(C14)</f>
        <v>10000</v>
      </c>
      <c r="D28" s="152">
        <f t="shared" ref="D28:E28" si="5">SUM(J28,O28)</f>
        <v>8587.1559633027537</v>
      </c>
      <c r="E28" s="153">
        <f t="shared" si="5"/>
        <v>1412.8440366972477</v>
      </c>
      <c r="F28" s="1"/>
      <c r="G28" s="1"/>
      <c r="H28" s="21" t="s">
        <v>50</v>
      </c>
      <c r="I28" s="152">
        <f>SUM(I14)</f>
        <v>5000</v>
      </c>
      <c r="J28" s="152">
        <f t="shared" ref="J28:J29" si="6">I28-K28</f>
        <v>4587.1559633027528</v>
      </c>
      <c r="K28" s="153">
        <f t="shared" ref="K28:K29" si="7">$I$15*(+I28/(1+$I$15))</f>
        <v>412.84403669724765</v>
      </c>
      <c r="L28" s="1"/>
      <c r="M28" s="21" t="s">
        <v>50</v>
      </c>
      <c r="N28" s="152">
        <f>SUM(N14)</f>
        <v>5000</v>
      </c>
      <c r="O28" s="152">
        <f t="shared" ref="O28:O29" si="8">N28-P28</f>
        <v>4000</v>
      </c>
      <c r="P28" s="153">
        <f t="shared" ref="P28:P29" si="9">$N$15*(+N28/(1+$N$15))</f>
        <v>1000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x14ac:dyDescent="0.3">
      <c r="A29" s="1"/>
      <c r="B29" s="9" t="s">
        <v>4</v>
      </c>
      <c r="C29" s="140">
        <f>-SUM(C11*C4)</f>
        <v>-150</v>
      </c>
      <c r="D29" s="140">
        <f t="shared" ref="D29:E29" si="10">SUM(J29,O29)</f>
        <v>-128.8073394495413</v>
      </c>
      <c r="E29" s="142">
        <f t="shared" si="10"/>
        <v>-21.192660550458715</v>
      </c>
      <c r="F29" s="1"/>
      <c r="G29" s="1"/>
      <c r="H29" s="9" t="s">
        <v>4</v>
      </c>
      <c r="I29" s="140">
        <f>-SUM(I11*C4)</f>
        <v>-75</v>
      </c>
      <c r="J29" s="140">
        <f t="shared" si="6"/>
        <v>-68.807339449541288</v>
      </c>
      <c r="K29" s="142">
        <f t="shared" si="7"/>
        <v>-6.1926605504587142</v>
      </c>
      <c r="L29" s="1"/>
      <c r="M29" s="9" t="s">
        <v>4</v>
      </c>
      <c r="N29" s="140">
        <f>-SUM(C4*N13)</f>
        <v>-75</v>
      </c>
      <c r="O29" s="140">
        <f t="shared" si="8"/>
        <v>-60</v>
      </c>
      <c r="P29" s="142">
        <f t="shared" si="9"/>
        <v>-15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3">
      <c r="A30" s="1"/>
      <c r="B30" s="24" t="s">
        <v>51</v>
      </c>
      <c r="C30" s="128">
        <f t="shared" ref="C30:E30" si="11">SUM(C28:C29)</f>
        <v>9850</v>
      </c>
      <c r="D30" s="128">
        <f t="shared" si="11"/>
        <v>8458.3486238532132</v>
      </c>
      <c r="E30" s="158">
        <f t="shared" si="11"/>
        <v>1391.6513761467891</v>
      </c>
      <c r="F30" s="1"/>
      <c r="G30" s="1"/>
      <c r="H30" s="24" t="s">
        <v>51</v>
      </c>
      <c r="I30" s="128">
        <f t="shared" ref="I30:K30" si="12">SUM(I28:I29)</f>
        <v>4925</v>
      </c>
      <c r="J30" s="128">
        <f t="shared" si="12"/>
        <v>4518.3486238532114</v>
      </c>
      <c r="K30" s="158">
        <f t="shared" si="12"/>
        <v>406.65137614678895</v>
      </c>
      <c r="L30" s="1"/>
      <c r="M30" s="24" t="s">
        <v>51</v>
      </c>
      <c r="N30" s="128">
        <f t="shared" ref="N30:P30" si="13">SUM(N28:N29)</f>
        <v>4925</v>
      </c>
      <c r="O30" s="128">
        <f t="shared" si="13"/>
        <v>3940</v>
      </c>
      <c r="P30" s="158">
        <f t="shared" si="13"/>
        <v>985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x14ac:dyDescent="0.3">
      <c r="A31" s="1"/>
      <c r="B31" s="1"/>
      <c r="C31" s="115" t="s">
        <v>42</v>
      </c>
      <c r="D31" s="160">
        <f t="shared" ref="D31:E31" si="14">IF(D30&lt;0,0,D30)</f>
        <v>8458.3486238532132</v>
      </c>
      <c r="E31" s="160">
        <f t="shared" si="14"/>
        <v>1391.6513761467891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6" x14ac:dyDescent="0.3">
      <c r="A41" s="1"/>
      <c r="B41" s="1"/>
      <c r="C41" s="1"/>
      <c r="D41" s="8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8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mdezp9xqQ65R7iKXO0QVciIA9DcUXe+bhL+ml4CVhoTXMNUQROezN6vuoEEmMrQSlCBEFRqm4Q/MtoCGor83lg==" saltValue="rT0gWMsDLhk80GvYwlzyvw==" spinCount="100000" sheet="1" objects="1" scenarios="1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17" zoomScale="80" zoomScaleNormal="80" workbookViewId="0">
      <selection activeCell="C26" sqref="C26"/>
    </sheetView>
  </sheetViews>
  <sheetFormatPr defaultColWidth="11.19921875" defaultRowHeight="15" customHeight="1" x14ac:dyDescent="0.3"/>
  <cols>
    <col min="1" max="1" width="6.59765625" style="83" customWidth="1"/>
    <col min="2" max="2" width="38.796875" style="83" customWidth="1"/>
    <col min="3" max="3" width="15" style="83" customWidth="1"/>
    <col min="4" max="4" width="19.3984375" style="83" customWidth="1"/>
    <col min="5" max="5" width="31.8984375" style="83" customWidth="1"/>
    <col min="6" max="6" width="9.3984375" style="83" customWidth="1"/>
    <col min="7" max="7" width="17.69921875" style="83" customWidth="1"/>
    <col min="8" max="8" width="17.5" style="83" customWidth="1"/>
    <col min="9" max="9" width="5.8984375" style="83" customWidth="1"/>
    <col min="10" max="10" width="33.69921875" style="83" customWidth="1"/>
    <col min="11" max="11" width="15.19921875" style="83" customWidth="1"/>
    <col min="12" max="12" width="19.3984375" style="83" customWidth="1"/>
    <col min="13" max="13" width="15.296875" style="83" customWidth="1"/>
    <col min="14" max="14" width="6.59765625" style="83" customWidth="1"/>
    <col min="15" max="15" width="33.69921875" style="83" customWidth="1"/>
    <col min="16" max="16" width="14.796875" style="83" customWidth="1"/>
    <col min="17" max="17" width="19.3984375" style="83" customWidth="1"/>
    <col min="18" max="18" width="12.8984375" style="83" customWidth="1"/>
    <col min="19" max="19" width="4.8984375" style="83" customWidth="1"/>
    <col min="20" max="26" width="6.59765625" style="83" customWidth="1"/>
    <col min="27" max="16384" width="11.19921875" style="83"/>
  </cols>
  <sheetData>
    <row r="1" spans="1:26" ht="15.6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25.8" x14ac:dyDescent="0.5">
      <c r="A2" s="82"/>
      <c r="B2" s="84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.6" x14ac:dyDescent="0.3">
      <c r="A3" s="82"/>
      <c r="B3" s="85" t="s">
        <v>1</v>
      </c>
      <c r="C3" s="86" t="s">
        <v>2</v>
      </c>
      <c r="D3" s="87" t="s">
        <v>2</v>
      </c>
      <c r="E3" s="88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6" x14ac:dyDescent="0.3">
      <c r="A4" s="82"/>
      <c r="B4" s="89" t="s">
        <v>4</v>
      </c>
      <c r="C4" s="244">
        <v>0</v>
      </c>
      <c r="D4" s="245"/>
      <c r="E4" s="246" t="s">
        <v>118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5.6" x14ac:dyDescent="0.3">
      <c r="A5" s="82"/>
      <c r="B5" s="93"/>
      <c r="C5" s="247"/>
      <c r="D5" s="219"/>
      <c r="E5" s="230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6" x14ac:dyDescent="0.3">
      <c r="A6" s="82"/>
      <c r="B6" s="96" t="s">
        <v>6</v>
      </c>
      <c r="C6" s="227">
        <v>0.05</v>
      </c>
      <c r="D6" s="206"/>
      <c r="E6" s="231" t="s">
        <v>7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6" x14ac:dyDescent="0.3">
      <c r="A7" s="82"/>
      <c r="B7" s="100" t="s">
        <v>8</v>
      </c>
      <c r="C7" s="248" t="s">
        <v>9</v>
      </c>
      <c r="D7" s="224"/>
      <c r="E7" s="233" t="s">
        <v>119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6" x14ac:dyDescent="0.3">
      <c r="A8" s="82"/>
      <c r="B8" s="96" t="s">
        <v>120</v>
      </c>
      <c r="C8" s="205">
        <v>2500</v>
      </c>
      <c r="D8" s="249"/>
      <c r="E8" s="231" t="s">
        <v>7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6" x14ac:dyDescent="0.3">
      <c r="A9" s="82"/>
      <c r="B9" s="100" t="s">
        <v>12</v>
      </c>
      <c r="C9" s="232">
        <v>0</v>
      </c>
      <c r="D9" s="224"/>
      <c r="E9" s="233" t="s">
        <v>7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6" x14ac:dyDescent="0.3">
      <c r="A10" s="82"/>
      <c r="B10" s="100" t="s">
        <v>13</v>
      </c>
      <c r="C10" s="223">
        <v>0.09</v>
      </c>
      <c r="D10" s="224"/>
      <c r="E10" s="233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6" x14ac:dyDescent="0.3">
      <c r="A11" s="82"/>
      <c r="B11" s="96"/>
      <c r="C11" s="250"/>
      <c r="D11" s="226"/>
      <c r="E11" s="235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6" x14ac:dyDescent="0.3">
      <c r="A12" s="82"/>
      <c r="B12" s="100" t="s">
        <v>14</v>
      </c>
      <c r="C12" s="236">
        <v>0</v>
      </c>
      <c r="D12" s="232">
        <v>0</v>
      </c>
      <c r="E12" s="233" t="s">
        <v>15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6" x14ac:dyDescent="0.3">
      <c r="A13" s="82"/>
      <c r="B13" s="100" t="s">
        <v>16</v>
      </c>
      <c r="C13" s="236">
        <v>0</v>
      </c>
      <c r="D13" s="232">
        <v>0</v>
      </c>
      <c r="E13" s="233" t="s">
        <v>15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6" x14ac:dyDescent="0.3">
      <c r="A14" s="82"/>
      <c r="B14" s="100" t="s">
        <v>17</v>
      </c>
      <c r="C14" s="236">
        <v>0</v>
      </c>
      <c r="D14" s="232">
        <v>0</v>
      </c>
      <c r="E14" s="233" t="s">
        <v>15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5.6" x14ac:dyDescent="0.3">
      <c r="A15" s="82"/>
      <c r="B15" s="100" t="s">
        <v>18</v>
      </c>
      <c r="C15" s="236">
        <v>0</v>
      </c>
      <c r="D15" s="232">
        <v>0</v>
      </c>
      <c r="E15" s="233" t="s">
        <v>15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6" x14ac:dyDescent="0.3">
      <c r="A16" s="82"/>
      <c r="B16" s="100" t="s">
        <v>19</v>
      </c>
      <c r="C16" s="236">
        <v>0</v>
      </c>
      <c r="D16" s="224"/>
      <c r="E16" s="233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6" x14ac:dyDescent="0.3">
      <c r="A17" s="82"/>
      <c r="B17" s="100"/>
      <c r="C17" s="236"/>
      <c r="D17" s="224"/>
      <c r="E17" s="233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6" x14ac:dyDescent="0.3">
      <c r="A18" s="82"/>
      <c r="B18" s="110" t="s">
        <v>20</v>
      </c>
      <c r="C18" s="239">
        <v>0</v>
      </c>
      <c r="D18" s="240"/>
      <c r="E18" s="241" t="s">
        <v>21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6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6" x14ac:dyDescent="0.3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25.8" x14ac:dyDescent="0.5">
      <c r="A21" s="82"/>
      <c r="B21" s="84" t="s">
        <v>22</v>
      </c>
      <c r="C21" s="82"/>
      <c r="D21" s="82"/>
      <c r="E21" s="82"/>
      <c r="F21" s="82"/>
      <c r="G21" s="82"/>
      <c r="H21" s="82"/>
      <c r="I21" s="82"/>
      <c r="J21" s="114" t="s">
        <v>95</v>
      </c>
      <c r="K21" s="82"/>
      <c r="L21" s="82"/>
      <c r="M21" s="82"/>
      <c r="N21" s="82"/>
      <c r="O21" s="114" t="s">
        <v>96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6" x14ac:dyDescent="0.3">
      <c r="A22" s="82"/>
      <c r="B22" s="85" t="s">
        <v>1</v>
      </c>
      <c r="C22" s="86" t="s">
        <v>2</v>
      </c>
      <c r="D22" s="88" t="s">
        <v>3</v>
      </c>
      <c r="E22" s="115"/>
      <c r="F22" s="82"/>
      <c r="G22" s="82"/>
      <c r="H22" s="82"/>
      <c r="I22" s="82"/>
      <c r="J22" s="85" t="s">
        <v>1</v>
      </c>
      <c r="K22" s="86" t="s">
        <v>2</v>
      </c>
      <c r="L22" s="116"/>
      <c r="M22" s="115"/>
      <c r="N22" s="82"/>
      <c r="O22" s="85" t="s">
        <v>1</v>
      </c>
      <c r="P22" s="86" t="s">
        <v>2</v>
      </c>
      <c r="Q22" s="116"/>
      <c r="R22" s="115"/>
      <c r="S22" s="82"/>
      <c r="T22" s="82"/>
      <c r="U22" s="82"/>
      <c r="V22" s="82"/>
      <c r="W22" s="82"/>
      <c r="X22" s="82"/>
      <c r="Y22" s="82"/>
      <c r="Z22" s="82"/>
    </row>
    <row r="23" spans="1:26" ht="15.6" x14ac:dyDescent="0.3">
      <c r="A23" s="82"/>
      <c r="B23" s="117" t="s">
        <v>25</v>
      </c>
      <c r="C23" s="118">
        <f t="shared" ref="C23:C26" si="0">SUM(K23,P23)</f>
        <v>225</v>
      </c>
      <c r="D23" s="119" t="s">
        <v>26</v>
      </c>
      <c r="E23" s="82"/>
      <c r="F23" s="82"/>
      <c r="G23" s="82"/>
      <c r="H23" s="82"/>
      <c r="I23" s="82"/>
      <c r="J23" s="93" t="s">
        <v>97</v>
      </c>
      <c r="K23" s="120">
        <v>225</v>
      </c>
      <c r="L23" s="121"/>
      <c r="M23" s="82"/>
      <c r="N23" s="82"/>
      <c r="O23" s="93" t="s">
        <v>97</v>
      </c>
      <c r="P23" s="122">
        <v>0</v>
      </c>
      <c r="Q23" s="121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6" x14ac:dyDescent="0.3">
      <c r="A24" s="82"/>
      <c r="B24" s="96" t="s">
        <v>27</v>
      </c>
      <c r="C24" s="98">
        <f t="shared" si="0"/>
        <v>0</v>
      </c>
      <c r="D24" s="99" t="s">
        <v>28</v>
      </c>
      <c r="E24" s="82"/>
      <c r="F24" s="82"/>
      <c r="G24" s="82"/>
      <c r="H24" s="82"/>
      <c r="I24" s="82"/>
      <c r="J24" s="96" t="s">
        <v>27</v>
      </c>
      <c r="K24" s="123">
        <v>0</v>
      </c>
      <c r="L24" s="121"/>
      <c r="M24" s="82"/>
      <c r="N24" s="82"/>
      <c r="O24" s="96" t="s">
        <v>27</v>
      </c>
      <c r="P24" s="124">
        <v>0</v>
      </c>
      <c r="Q24" s="121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6" x14ac:dyDescent="0.3">
      <c r="A25" s="82"/>
      <c r="B25" s="96" t="s">
        <v>29</v>
      </c>
      <c r="C25" s="98">
        <f t="shared" si="0"/>
        <v>225</v>
      </c>
      <c r="D25" s="99" t="s">
        <v>30</v>
      </c>
      <c r="E25" s="82"/>
      <c r="F25" s="82"/>
      <c r="G25" s="82"/>
      <c r="H25" s="82"/>
      <c r="I25" s="82"/>
      <c r="J25" s="96" t="s">
        <v>29</v>
      </c>
      <c r="K25" s="125">
        <f>SUM(K23:K24)</f>
        <v>225</v>
      </c>
      <c r="L25" s="121"/>
      <c r="M25" s="82"/>
      <c r="N25" s="82"/>
      <c r="O25" s="96" t="s">
        <v>29</v>
      </c>
      <c r="P25" s="126">
        <f>SUM(P23:P24)</f>
        <v>0</v>
      </c>
      <c r="Q25" s="121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6" x14ac:dyDescent="0.3">
      <c r="A26" s="82"/>
      <c r="B26" s="127" t="s">
        <v>31</v>
      </c>
      <c r="C26" s="128">
        <f t="shared" si="0"/>
        <v>2812.5</v>
      </c>
      <c r="D26" s="129" t="s">
        <v>32</v>
      </c>
      <c r="E26" s="82"/>
      <c r="F26" s="82"/>
      <c r="G26" s="82"/>
      <c r="H26" s="82"/>
      <c r="I26" s="82"/>
      <c r="J26" s="96" t="s">
        <v>31</v>
      </c>
      <c r="K26" s="130">
        <v>2812.5</v>
      </c>
      <c r="L26" s="121"/>
      <c r="M26" s="82"/>
      <c r="N26" s="82"/>
      <c r="O26" s="96" t="s">
        <v>31</v>
      </c>
      <c r="P26" s="131">
        <v>0</v>
      </c>
      <c r="Q26" s="121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6" x14ac:dyDescent="0.3">
      <c r="A27" s="82"/>
      <c r="B27" s="82"/>
      <c r="C27" s="82"/>
      <c r="D27" s="82"/>
      <c r="E27" s="82"/>
      <c r="F27" s="82"/>
      <c r="G27" s="82"/>
      <c r="H27" s="82"/>
      <c r="I27" s="82"/>
      <c r="J27" s="127" t="s">
        <v>34</v>
      </c>
      <c r="K27" s="132">
        <v>0.09</v>
      </c>
      <c r="L27" s="121"/>
      <c r="M27" s="82"/>
      <c r="N27" s="82"/>
      <c r="O27" s="127" t="s">
        <v>34</v>
      </c>
      <c r="P27" s="133">
        <v>0.09</v>
      </c>
      <c r="Q27" s="121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6" x14ac:dyDescent="0.3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25.8" x14ac:dyDescent="0.5">
      <c r="A29" s="82"/>
      <c r="B29" s="134" t="s">
        <v>35</v>
      </c>
      <c r="C29" s="115"/>
      <c r="D29" s="135"/>
      <c r="E29" s="135"/>
      <c r="F29" s="136"/>
      <c r="G29" s="135"/>
      <c r="H29" s="82"/>
      <c r="I29" s="82"/>
      <c r="J29" s="84"/>
      <c r="K29" s="115"/>
      <c r="L29" s="135"/>
      <c r="M29" s="135"/>
      <c r="N29" s="82"/>
      <c r="O29" s="84"/>
      <c r="P29" s="115"/>
      <c r="Q29" s="135"/>
      <c r="R29" s="135"/>
      <c r="S29" s="136"/>
      <c r="T29" s="82"/>
      <c r="U29" s="82"/>
      <c r="V29" s="82"/>
      <c r="W29" s="82"/>
      <c r="X29" s="82"/>
      <c r="Y29" s="82"/>
      <c r="Z29" s="82"/>
    </row>
    <row r="30" spans="1:26" ht="15.6" x14ac:dyDescent="0.3">
      <c r="A30" s="82"/>
      <c r="B30" s="85" t="s">
        <v>1</v>
      </c>
      <c r="C30" s="137" t="s">
        <v>36</v>
      </c>
      <c r="D30" s="137" t="s">
        <v>37</v>
      </c>
      <c r="E30" s="137" t="s">
        <v>38</v>
      </c>
      <c r="F30" s="137" t="s">
        <v>39</v>
      </c>
      <c r="G30" s="137" t="s">
        <v>34</v>
      </c>
      <c r="H30" s="138" t="s">
        <v>29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6" x14ac:dyDescent="0.3">
      <c r="A31" s="82"/>
      <c r="B31" s="117" t="s">
        <v>4</v>
      </c>
      <c r="C31" s="90">
        <f>-SUM(L42,Q42)</f>
        <v>0</v>
      </c>
      <c r="D31" s="91"/>
      <c r="E31" s="91"/>
      <c r="F31" s="90"/>
      <c r="G31" s="90">
        <f>-SUM(M42,R42)</f>
        <v>0</v>
      </c>
      <c r="H31" s="139">
        <f t="shared" ref="H31:H33" si="1">SUM(C31:G31)</f>
        <v>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6" x14ac:dyDescent="0.3">
      <c r="A32" s="82"/>
      <c r="B32" s="96" t="s">
        <v>40</v>
      </c>
      <c r="C32" s="140">
        <f>SUM(C89)</f>
        <v>-48.738532110091455</v>
      </c>
      <c r="D32" s="140">
        <f>SUM(C88)</f>
        <v>2500</v>
      </c>
      <c r="E32" s="141"/>
      <c r="F32" s="140"/>
      <c r="G32" s="140">
        <f>SUM(E48)</f>
        <v>220.61353211009171</v>
      </c>
      <c r="H32" s="142">
        <f t="shared" si="1"/>
        <v>2671.8750000000005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6" x14ac:dyDescent="0.3">
      <c r="A33" s="82"/>
      <c r="B33" s="96" t="s">
        <v>38</v>
      </c>
      <c r="C33" s="141"/>
      <c r="D33" s="140"/>
      <c r="E33" s="140">
        <f>-D44</f>
        <v>129.01376146788991</v>
      </c>
      <c r="F33" s="140"/>
      <c r="G33" s="140">
        <f>-E44</f>
        <v>11.611238532110091</v>
      </c>
      <c r="H33" s="142">
        <f t="shared" si="1"/>
        <v>140.625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6" x14ac:dyDescent="0.3">
      <c r="A34" s="82"/>
      <c r="B34" s="143" t="s">
        <v>41</v>
      </c>
      <c r="C34" s="144">
        <f>-E34</f>
        <v>0</v>
      </c>
      <c r="D34" s="144"/>
      <c r="E34" s="144">
        <f>C68</f>
        <v>0</v>
      </c>
      <c r="F34" s="144"/>
      <c r="G34" s="144"/>
      <c r="H34" s="145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6" x14ac:dyDescent="0.3">
      <c r="A35" s="82"/>
      <c r="B35" s="110" t="s">
        <v>39</v>
      </c>
      <c r="C35" s="146"/>
      <c r="D35" s="111"/>
      <c r="E35" s="111"/>
      <c r="F35" s="111">
        <f>-SUM(D46)</f>
        <v>0</v>
      </c>
      <c r="G35" s="111">
        <f>SUM(F35*C10)</f>
        <v>0</v>
      </c>
      <c r="H35" s="147">
        <f>SUM(C35:G35)</f>
        <v>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6" x14ac:dyDescent="0.3">
      <c r="A36" s="82"/>
      <c r="B36" s="148" t="s">
        <v>42</v>
      </c>
      <c r="C36" s="149">
        <f t="shared" ref="C36:H36" si="2">SUM(C31:C35)</f>
        <v>-48.738532110091455</v>
      </c>
      <c r="D36" s="149">
        <f t="shared" si="2"/>
        <v>2500</v>
      </c>
      <c r="E36" s="149">
        <f t="shared" si="2"/>
        <v>129.01376146788991</v>
      </c>
      <c r="F36" s="149">
        <f t="shared" si="2"/>
        <v>0</v>
      </c>
      <c r="G36" s="149">
        <f t="shared" si="2"/>
        <v>232.2247706422018</v>
      </c>
      <c r="H36" s="150">
        <f t="shared" si="2"/>
        <v>2812.5000000000005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6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6" x14ac:dyDescent="0.3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25.8" x14ac:dyDescent="0.5">
      <c r="A39" s="82"/>
      <c r="B39" s="84" t="s">
        <v>43</v>
      </c>
      <c r="C39" s="82"/>
      <c r="D39" s="82"/>
      <c r="E39" s="82"/>
      <c r="F39" s="82"/>
      <c r="G39" s="82"/>
      <c r="H39" s="82"/>
      <c r="I39" s="82"/>
      <c r="J39" s="84" t="s">
        <v>44</v>
      </c>
      <c r="K39" s="82"/>
      <c r="L39" s="82"/>
      <c r="M39" s="82"/>
      <c r="N39" s="82"/>
      <c r="O39" s="84" t="s">
        <v>45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6" x14ac:dyDescent="0.3">
      <c r="A40" s="82"/>
      <c r="B40" s="85" t="s">
        <v>1</v>
      </c>
      <c r="C40" s="137" t="s">
        <v>46</v>
      </c>
      <c r="D40" s="137" t="s">
        <v>47</v>
      </c>
      <c r="E40" s="138" t="s">
        <v>34</v>
      </c>
      <c r="F40" s="82"/>
      <c r="G40" s="82"/>
      <c r="H40" s="82"/>
      <c r="I40" s="82"/>
      <c r="J40" s="151"/>
      <c r="K40" s="137" t="s">
        <v>48</v>
      </c>
      <c r="L40" s="137" t="s">
        <v>49</v>
      </c>
      <c r="M40" s="138" t="s">
        <v>34</v>
      </c>
      <c r="N40" s="82"/>
      <c r="O40" s="151"/>
      <c r="P40" s="137" t="s">
        <v>48</v>
      </c>
      <c r="Q40" s="137" t="s">
        <v>49</v>
      </c>
      <c r="R40" s="138" t="s">
        <v>34</v>
      </c>
      <c r="S40" s="82"/>
      <c r="T40" s="82"/>
      <c r="U40" s="82"/>
      <c r="V40" s="82"/>
      <c r="W40" s="82"/>
      <c r="X40" s="82"/>
      <c r="Y40" s="82"/>
      <c r="Z40" s="82"/>
    </row>
    <row r="41" spans="1:26" ht="15.6" x14ac:dyDescent="0.3">
      <c r="A41" s="82"/>
      <c r="B41" s="117" t="s">
        <v>50</v>
      </c>
      <c r="C41" s="152">
        <f>SUM(C26)</f>
        <v>2812.5</v>
      </c>
      <c r="D41" s="152">
        <f t="shared" ref="D41:E41" si="3">SUM(L41,Q41)</f>
        <v>2580.2752293577983</v>
      </c>
      <c r="E41" s="153">
        <f t="shared" si="3"/>
        <v>232.2247706422018</v>
      </c>
      <c r="F41" s="82"/>
      <c r="G41" s="82"/>
      <c r="H41" s="82"/>
      <c r="I41" s="82"/>
      <c r="J41" s="117" t="s">
        <v>50</v>
      </c>
      <c r="K41" s="152">
        <f>SUM(K26)</f>
        <v>2812.5</v>
      </c>
      <c r="L41" s="152">
        <f t="shared" ref="L41:L42" si="4">K41-M41</f>
        <v>2580.2752293577983</v>
      </c>
      <c r="M41" s="153">
        <f t="shared" ref="M41:M42" si="5">$K$27*(+K41/(1+$K$27))</f>
        <v>232.2247706422018</v>
      </c>
      <c r="N41" s="82"/>
      <c r="O41" s="117" t="s">
        <v>50</v>
      </c>
      <c r="P41" s="152">
        <f>SUM(P26)</f>
        <v>0</v>
      </c>
      <c r="Q41" s="152">
        <f t="shared" ref="Q41:Q42" si="6">P41-R41</f>
        <v>0</v>
      </c>
      <c r="R41" s="153">
        <f>$P27*(+P41/(1+$P$27))</f>
        <v>0</v>
      </c>
      <c r="S41" s="82"/>
      <c r="T41" s="82"/>
      <c r="U41" s="82"/>
      <c r="V41" s="82"/>
      <c r="W41" s="82"/>
      <c r="X41" s="82"/>
      <c r="Y41" s="82"/>
      <c r="Z41" s="82"/>
    </row>
    <row r="42" spans="1:26" ht="15.6" x14ac:dyDescent="0.3">
      <c r="A42" s="82"/>
      <c r="B42" s="89" t="s">
        <v>4</v>
      </c>
      <c r="C42" s="104">
        <f>-SUM(C23*C4)</f>
        <v>0</v>
      </c>
      <c r="D42" s="104">
        <f t="shared" ref="D42:E42" si="7">SUM(L42,Q42)</f>
        <v>0</v>
      </c>
      <c r="E42" s="154">
        <f t="shared" si="7"/>
        <v>0</v>
      </c>
      <c r="F42" s="82"/>
      <c r="G42" s="82"/>
      <c r="H42" s="82"/>
      <c r="I42" s="82"/>
      <c r="J42" s="100" t="s">
        <v>4</v>
      </c>
      <c r="K42" s="104">
        <f>-SUM(K23*C4)</f>
        <v>0</v>
      </c>
      <c r="L42" s="104">
        <f t="shared" si="4"/>
        <v>0</v>
      </c>
      <c r="M42" s="154">
        <f t="shared" si="5"/>
        <v>0</v>
      </c>
      <c r="N42" s="82"/>
      <c r="O42" s="100" t="s">
        <v>4</v>
      </c>
      <c r="P42" s="104">
        <f>-SUM(C4*P23)</f>
        <v>0</v>
      </c>
      <c r="Q42" s="104">
        <f t="shared" si="6"/>
        <v>0</v>
      </c>
      <c r="R42" s="154">
        <f>$P$27*(+P42/(1+$P$27))</f>
        <v>0</v>
      </c>
      <c r="S42" s="82"/>
      <c r="T42" s="82"/>
      <c r="U42" s="82"/>
      <c r="V42" s="82"/>
      <c r="W42" s="82"/>
      <c r="X42" s="82"/>
      <c r="Y42" s="82"/>
      <c r="Z42" s="82"/>
    </row>
    <row r="43" spans="1:26" ht="15.6" x14ac:dyDescent="0.3">
      <c r="A43" s="82"/>
      <c r="B43" s="100" t="s">
        <v>121</v>
      </c>
      <c r="C43" s="104">
        <f t="shared" ref="C43:E43" si="8">SUM(C41:C42)</f>
        <v>2812.5</v>
      </c>
      <c r="D43" s="104">
        <f t="shared" si="8"/>
        <v>2580.2752293577983</v>
      </c>
      <c r="E43" s="154">
        <f t="shared" si="8"/>
        <v>232.2247706422018</v>
      </c>
      <c r="F43" s="82"/>
      <c r="G43" s="82"/>
      <c r="H43" s="82"/>
      <c r="I43" s="82"/>
      <c r="J43" s="100" t="s">
        <v>121</v>
      </c>
      <c r="K43" s="104">
        <f t="shared" ref="K43:M43" si="9">SUM(K41:K42)</f>
        <v>2812.5</v>
      </c>
      <c r="L43" s="104">
        <f t="shared" si="9"/>
        <v>2580.2752293577983</v>
      </c>
      <c r="M43" s="154">
        <f t="shared" si="9"/>
        <v>232.2247706422018</v>
      </c>
      <c r="N43" s="82"/>
      <c r="O43" s="100" t="s">
        <v>121</v>
      </c>
      <c r="P43" s="104">
        <f t="shared" ref="P43:R43" si="10">SUM(P41:P42)</f>
        <v>0</v>
      </c>
      <c r="Q43" s="104">
        <f t="shared" si="10"/>
        <v>0</v>
      </c>
      <c r="R43" s="154">
        <f t="shared" si="10"/>
        <v>0</v>
      </c>
      <c r="S43" s="82"/>
      <c r="T43" s="82"/>
      <c r="U43" s="82"/>
      <c r="V43" s="82"/>
      <c r="W43" s="82"/>
      <c r="X43" s="82"/>
      <c r="Y43" s="82"/>
      <c r="Z43" s="82"/>
    </row>
    <row r="44" spans="1:26" ht="15.6" x14ac:dyDescent="0.3">
      <c r="A44" s="82"/>
      <c r="B44" s="96" t="s">
        <v>38</v>
      </c>
      <c r="C44" s="140">
        <f t="shared" ref="C44:E44" si="11">SUM(K44,P44)</f>
        <v>-140.625</v>
      </c>
      <c r="D44" s="140">
        <f t="shared" si="11"/>
        <v>-129.01376146788991</v>
      </c>
      <c r="E44" s="142">
        <f t="shared" si="11"/>
        <v>-11.611238532110091</v>
      </c>
      <c r="F44" s="82"/>
      <c r="G44" s="82"/>
      <c r="H44" s="82"/>
      <c r="I44" s="82"/>
      <c r="J44" s="96" t="s">
        <v>38</v>
      </c>
      <c r="K44" s="140">
        <f>SUM(L44,M44)</f>
        <v>-140.625</v>
      </c>
      <c r="L44" s="140">
        <f>-(+L43*C72)</f>
        <v>-129.01376146788991</v>
      </c>
      <c r="M44" s="142">
        <f>L44*$K$27</f>
        <v>-11.611238532110091</v>
      </c>
      <c r="N44" s="82"/>
      <c r="O44" s="96" t="s">
        <v>38</v>
      </c>
      <c r="P44" s="140">
        <f>SUM(Q44,R44)</f>
        <v>0</v>
      </c>
      <c r="Q44" s="140">
        <f>-(+Q43*C72)</f>
        <v>0</v>
      </c>
      <c r="R44" s="142">
        <f>Q44*$P$27</f>
        <v>0</v>
      </c>
      <c r="S44" s="82"/>
      <c r="T44" s="82"/>
      <c r="U44" s="82"/>
      <c r="V44" s="82"/>
      <c r="W44" s="82"/>
      <c r="X44" s="82"/>
      <c r="Y44" s="82"/>
      <c r="Z44" s="82"/>
    </row>
    <row r="45" spans="1:26" ht="15.6" x14ac:dyDescent="0.3">
      <c r="A45" s="82"/>
      <c r="B45" s="155" t="s">
        <v>122</v>
      </c>
      <c r="C45" s="156">
        <f t="shared" ref="C45:E45" si="12">SUM(K45,P45)</f>
        <v>2671.875</v>
      </c>
      <c r="D45" s="156">
        <f t="shared" si="12"/>
        <v>2451.2614678899085</v>
      </c>
      <c r="E45" s="157">
        <f t="shared" si="12"/>
        <v>220.61353211009171</v>
      </c>
      <c r="F45" s="82"/>
      <c r="G45" s="82"/>
      <c r="H45" s="82"/>
      <c r="I45" s="82"/>
      <c r="J45" s="127" t="s">
        <v>122</v>
      </c>
      <c r="K45" s="128">
        <f t="shared" ref="K45:M45" si="13">SUM(K43,K44)</f>
        <v>2671.875</v>
      </c>
      <c r="L45" s="128">
        <f t="shared" si="13"/>
        <v>2451.2614678899085</v>
      </c>
      <c r="M45" s="158">
        <f t="shared" si="13"/>
        <v>220.61353211009171</v>
      </c>
      <c r="N45" s="82"/>
      <c r="O45" s="127" t="s">
        <v>122</v>
      </c>
      <c r="P45" s="128">
        <f t="shared" ref="P45:R45" si="14">SUM(P43,P44)</f>
        <v>0</v>
      </c>
      <c r="Q45" s="128">
        <f t="shared" si="14"/>
        <v>0</v>
      </c>
      <c r="R45" s="158">
        <f t="shared" si="14"/>
        <v>0</v>
      </c>
      <c r="S45" s="82"/>
      <c r="T45" s="82"/>
      <c r="U45" s="82"/>
      <c r="V45" s="82"/>
      <c r="W45" s="82"/>
      <c r="X45" s="82"/>
      <c r="Y45" s="82"/>
      <c r="Z45" s="82"/>
    </row>
    <row r="46" spans="1:26" ht="15.6" x14ac:dyDescent="0.3">
      <c r="A46" s="82"/>
      <c r="B46" s="100" t="s">
        <v>39</v>
      </c>
      <c r="C46" s="104">
        <f>SUM(D46+E46)</f>
        <v>0</v>
      </c>
      <c r="D46" s="104">
        <f>-SUM(C18)</f>
        <v>0</v>
      </c>
      <c r="E46" s="154">
        <f>SUM(D46)*C10</f>
        <v>0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5.6" x14ac:dyDescent="0.3">
      <c r="A47" s="82"/>
      <c r="B47" s="110" t="s">
        <v>123</v>
      </c>
      <c r="C47" s="111">
        <f t="shared" ref="C47:E47" si="15">SUM(C45:C46)</f>
        <v>2671.875</v>
      </c>
      <c r="D47" s="111">
        <f t="shared" si="15"/>
        <v>2451.2614678899085</v>
      </c>
      <c r="E47" s="111">
        <f t="shared" si="15"/>
        <v>220.61353211009171</v>
      </c>
      <c r="F47" s="82"/>
      <c r="G47" s="82"/>
      <c r="H47" s="82"/>
      <c r="I47" s="82"/>
      <c r="J47" s="82"/>
      <c r="K47" s="159"/>
      <c r="L47" s="159"/>
      <c r="M47" s="159"/>
      <c r="N47" s="82"/>
      <c r="O47" s="82"/>
      <c r="P47" s="159"/>
      <c r="Q47" s="159"/>
      <c r="R47" s="159"/>
      <c r="S47" s="82"/>
      <c r="T47" s="82"/>
      <c r="U47" s="82"/>
      <c r="V47" s="82"/>
      <c r="W47" s="82"/>
      <c r="X47" s="82"/>
      <c r="Y47" s="82"/>
      <c r="Z47" s="82"/>
    </row>
    <row r="48" spans="1:26" ht="15.6" x14ac:dyDescent="0.3">
      <c r="A48" s="82"/>
      <c r="B48" s="82"/>
      <c r="C48" s="115" t="s">
        <v>42</v>
      </c>
      <c r="D48" s="160">
        <f t="shared" ref="D48:E48" si="16">IF(D47&lt;0,0,D47)</f>
        <v>2451.2614678899085</v>
      </c>
      <c r="E48" s="160">
        <f t="shared" si="16"/>
        <v>220.61353211009171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5.6" x14ac:dyDescent="0.3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25.8" x14ac:dyDescent="0.5">
      <c r="A50" s="82"/>
      <c r="B50" s="161" t="s">
        <v>54</v>
      </c>
      <c r="C50" s="162"/>
      <c r="D50" s="162"/>
      <c r="E50" s="162"/>
      <c r="F50" s="162"/>
      <c r="G50" s="162"/>
      <c r="H50" s="16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5.6" x14ac:dyDescent="0.3">
      <c r="A51" s="82"/>
      <c r="B51" s="163" t="s">
        <v>1</v>
      </c>
      <c r="C51" s="164" t="s">
        <v>55</v>
      </c>
      <c r="D51" s="164" t="s">
        <v>56</v>
      </c>
      <c r="E51" s="164" t="s">
        <v>57</v>
      </c>
      <c r="F51" s="164" t="s">
        <v>58</v>
      </c>
      <c r="G51" s="164" t="s">
        <v>59</v>
      </c>
      <c r="H51" s="165" t="s">
        <v>60</v>
      </c>
      <c r="I51" s="166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5.6" x14ac:dyDescent="0.3">
      <c r="A52" s="82"/>
      <c r="B52" s="89" t="s">
        <v>61</v>
      </c>
      <c r="C52" s="90">
        <f t="shared" ref="C52:C55" si="17">+D12</f>
        <v>0</v>
      </c>
      <c r="D52" s="90">
        <f>+D48</f>
        <v>2451.2614678899085</v>
      </c>
      <c r="E52" s="90">
        <f t="shared" ref="E52:E56" si="18">IF(D52&gt;C52,+C52,D52)</f>
        <v>0</v>
      </c>
      <c r="F52" s="90">
        <f t="shared" ref="F52:F56" si="19">ROUND(+E52*C12,2)</f>
        <v>0</v>
      </c>
      <c r="G52" s="90">
        <f t="shared" ref="G52:G56" si="20">+E52-F52</f>
        <v>0</v>
      </c>
      <c r="H52" s="139">
        <f t="shared" ref="H52:H57" si="21">IF(+D52-F52-G52&lt;0,0,+D52-F52-G52)</f>
        <v>2451.2614678899085</v>
      </c>
      <c r="I52" s="167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5.6" x14ac:dyDescent="0.3">
      <c r="A53" s="82"/>
      <c r="B53" s="100" t="s">
        <v>62</v>
      </c>
      <c r="C53" s="104">
        <f t="shared" si="17"/>
        <v>0</v>
      </c>
      <c r="D53" s="104">
        <f t="shared" ref="D53:D57" si="22">+H52</f>
        <v>2451.2614678899085</v>
      </c>
      <c r="E53" s="104">
        <f t="shared" si="18"/>
        <v>0</v>
      </c>
      <c r="F53" s="104">
        <f t="shared" si="19"/>
        <v>0</v>
      </c>
      <c r="G53" s="104">
        <f t="shared" si="20"/>
        <v>0</v>
      </c>
      <c r="H53" s="154">
        <f t="shared" si="21"/>
        <v>2451.2614678899085</v>
      </c>
      <c r="I53" s="167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5.6" x14ac:dyDescent="0.3">
      <c r="A54" s="82"/>
      <c r="B54" s="100" t="s">
        <v>63</v>
      </c>
      <c r="C54" s="104">
        <f t="shared" si="17"/>
        <v>0</v>
      </c>
      <c r="D54" s="104">
        <f t="shared" si="22"/>
        <v>2451.2614678899085</v>
      </c>
      <c r="E54" s="104">
        <f t="shared" si="18"/>
        <v>0</v>
      </c>
      <c r="F54" s="104">
        <f t="shared" si="19"/>
        <v>0</v>
      </c>
      <c r="G54" s="104">
        <f t="shared" si="20"/>
        <v>0</v>
      </c>
      <c r="H54" s="154">
        <f t="shared" si="21"/>
        <v>2451.2614678899085</v>
      </c>
      <c r="I54" s="16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6" x14ac:dyDescent="0.3">
      <c r="A55" s="82"/>
      <c r="B55" s="100" t="s">
        <v>64</v>
      </c>
      <c r="C55" s="104">
        <f t="shared" si="17"/>
        <v>0</v>
      </c>
      <c r="D55" s="104">
        <f t="shared" si="22"/>
        <v>2451.2614678899085</v>
      </c>
      <c r="E55" s="104">
        <f t="shared" si="18"/>
        <v>0</v>
      </c>
      <c r="F55" s="104">
        <f t="shared" si="19"/>
        <v>0</v>
      </c>
      <c r="G55" s="104">
        <f t="shared" si="20"/>
        <v>0</v>
      </c>
      <c r="H55" s="154">
        <f t="shared" si="21"/>
        <v>2451.2614678899085</v>
      </c>
      <c r="I55" s="167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5.6" x14ac:dyDescent="0.3">
      <c r="A56" s="82"/>
      <c r="B56" s="100"/>
      <c r="C56" s="101">
        <f>IF(+D16&lt;&gt;0,+D16,10000000)</f>
        <v>10000000</v>
      </c>
      <c r="D56" s="104">
        <f t="shared" si="22"/>
        <v>2451.2614678899085</v>
      </c>
      <c r="E56" s="104">
        <f t="shared" si="18"/>
        <v>2451.2614678899085</v>
      </c>
      <c r="F56" s="104">
        <f t="shared" si="19"/>
        <v>0</v>
      </c>
      <c r="G56" s="104">
        <f t="shared" si="20"/>
        <v>2451.2614678899085</v>
      </c>
      <c r="H56" s="154">
        <f t="shared" si="21"/>
        <v>0</v>
      </c>
      <c r="I56" s="167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5.6" x14ac:dyDescent="0.3">
      <c r="A57" s="82"/>
      <c r="B57" s="100"/>
      <c r="C57" s="104">
        <f>SUM(C52:C56)</f>
        <v>10000000</v>
      </c>
      <c r="D57" s="104">
        <f t="shared" si="22"/>
        <v>0</v>
      </c>
      <c r="E57" s="168">
        <f t="shared" ref="E57:G57" si="23">SUM(E52:E56)</f>
        <v>2451.2614678899085</v>
      </c>
      <c r="F57" s="168">
        <f t="shared" si="23"/>
        <v>0</v>
      </c>
      <c r="G57" s="168">
        <f t="shared" si="23"/>
        <v>2451.2614678899085</v>
      </c>
      <c r="H57" s="154">
        <f t="shared" si="21"/>
        <v>0</v>
      </c>
      <c r="I57" s="167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5.6" x14ac:dyDescent="0.3">
      <c r="A58" s="82"/>
      <c r="B58" s="110"/>
      <c r="C58" s="112"/>
      <c r="D58" s="112"/>
      <c r="E58" s="112"/>
      <c r="F58" s="112" t="str">
        <f>IF(+G57+F57=E57,"OK","Fout")</f>
        <v>OK</v>
      </c>
      <c r="G58" s="112" t="str">
        <f>IF(+G57+F57=D48,"OK","Fout")</f>
        <v>OK</v>
      </c>
      <c r="H58" s="113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25.8" x14ac:dyDescent="0.5">
      <c r="A59" s="82"/>
      <c r="B59" s="84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25.8" x14ac:dyDescent="0.5">
      <c r="A60" s="82"/>
      <c r="B60" s="84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25.8" x14ac:dyDescent="0.5">
      <c r="A61" s="82"/>
      <c r="B61" s="84" t="s">
        <v>65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6" x14ac:dyDescent="0.3">
      <c r="A62" s="82"/>
      <c r="B62" s="115" t="s">
        <v>66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5.6" x14ac:dyDescent="0.3">
      <c r="A63" s="82"/>
      <c r="B63" s="117" t="s">
        <v>105</v>
      </c>
      <c r="C63" s="152">
        <f>D43</f>
        <v>2580.2752293577983</v>
      </c>
      <c r="D63" s="119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.6" x14ac:dyDescent="0.3">
      <c r="A64" s="82"/>
      <c r="B64" s="96" t="s">
        <v>68</v>
      </c>
      <c r="C64" s="140">
        <f>+C77</f>
        <v>2500</v>
      </c>
      <c r="D64" s="99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5.6" x14ac:dyDescent="0.3">
      <c r="A65" s="82"/>
      <c r="B65" s="96" t="s">
        <v>69</v>
      </c>
      <c r="C65" s="169">
        <f>IF(+C64-C63&gt;0,+C64-C63,0)</f>
        <v>0</v>
      </c>
      <c r="D65" s="99" t="s">
        <v>70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5.6" x14ac:dyDescent="0.3">
      <c r="A66" s="82"/>
      <c r="B66" s="96" t="str">
        <f>IF(+C65&gt;0,"AR herrekening","Geen AR herrekening")</f>
        <v>Geen AR herrekening</v>
      </c>
      <c r="C66" s="98">
        <f>IF(+C65&gt;0,+ROUND(+C64*C6,2),0)</f>
        <v>0</v>
      </c>
      <c r="D66" s="99" t="s">
        <v>71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6" x14ac:dyDescent="0.3">
      <c r="A67" s="82"/>
      <c r="B67" s="96" t="s">
        <v>72</v>
      </c>
      <c r="C67" s="140">
        <f>E33</f>
        <v>129.01376146788991</v>
      </c>
      <c r="D67" s="99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6" x14ac:dyDescent="0.3">
      <c r="A68" s="82"/>
      <c r="B68" s="127" t="s">
        <v>73</v>
      </c>
      <c r="C68" s="128">
        <f>IF(C65&gt;0,+C66-C67,0)</f>
        <v>0</v>
      </c>
      <c r="D68" s="129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6" x14ac:dyDescent="0.3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5.6" x14ac:dyDescent="0.3">
      <c r="A70" s="82"/>
      <c r="B70" s="115" t="s">
        <v>74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5.6" x14ac:dyDescent="0.3">
      <c r="A71" s="82"/>
      <c r="B71" s="89" t="s">
        <v>106</v>
      </c>
      <c r="C71" s="90">
        <f>SUM(K71,P71)</f>
        <v>0</v>
      </c>
      <c r="D71" s="91"/>
      <c r="E71" s="170"/>
      <c r="F71" s="91"/>
      <c r="G71" s="91"/>
      <c r="H71" s="91"/>
      <c r="I71" s="91"/>
      <c r="J71" s="91"/>
      <c r="K71" s="171">
        <f>+K23*(C4/K27)</f>
        <v>0</v>
      </c>
      <c r="L71" s="91"/>
      <c r="M71" s="91"/>
      <c r="N71" s="91"/>
      <c r="O71" s="91"/>
      <c r="P71" s="171">
        <f>+P23*(C4/P27)</f>
        <v>0</v>
      </c>
      <c r="Q71" s="91"/>
      <c r="R71" s="92"/>
      <c r="S71" s="82"/>
      <c r="T71" s="82"/>
      <c r="U71" s="82"/>
      <c r="V71" s="82"/>
      <c r="W71" s="82"/>
      <c r="X71" s="82"/>
      <c r="Y71" s="82"/>
      <c r="Z71" s="82"/>
    </row>
    <row r="72" spans="1:26" ht="15.6" x14ac:dyDescent="0.3">
      <c r="A72" s="82"/>
      <c r="B72" s="96" t="s">
        <v>75</v>
      </c>
      <c r="C72" s="172">
        <f>IF(C7="j",+C6/(1+C6),+C6)</f>
        <v>0.05</v>
      </c>
      <c r="D72" s="98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173"/>
      <c r="S72" s="82"/>
      <c r="T72" s="82"/>
      <c r="U72" s="82"/>
      <c r="V72" s="82"/>
      <c r="W72" s="82"/>
      <c r="X72" s="82"/>
      <c r="Y72" s="82"/>
      <c r="Z72" s="82"/>
    </row>
    <row r="73" spans="1:26" ht="15.6" x14ac:dyDescent="0.3">
      <c r="A73" s="82"/>
      <c r="B73" s="96" t="s">
        <v>76</v>
      </c>
      <c r="C73" s="140">
        <f>SUM(K73,P73)</f>
        <v>232.22</v>
      </c>
      <c r="D73" s="98"/>
      <c r="E73" s="174"/>
      <c r="F73" s="98"/>
      <c r="G73" s="98"/>
      <c r="H73" s="98"/>
      <c r="I73" s="98"/>
      <c r="J73" s="98"/>
      <c r="K73" s="141">
        <f>ROUND(K27*(+K26/(1+K27)),2)</f>
        <v>232.22</v>
      </c>
      <c r="L73" s="98"/>
      <c r="M73" s="98"/>
      <c r="N73" s="98"/>
      <c r="O73" s="98"/>
      <c r="P73" s="141">
        <f>ROUND(P27*(+P26/(1+P27)),2)</f>
        <v>0</v>
      </c>
      <c r="Q73" s="98"/>
      <c r="R73" s="99"/>
      <c r="S73" s="82"/>
      <c r="T73" s="82"/>
      <c r="U73" s="82"/>
      <c r="V73" s="82"/>
      <c r="W73" s="82"/>
      <c r="X73" s="82"/>
      <c r="Y73" s="82"/>
      <c r="Z73" s="82"/>
    </row>
    <row r="74" spans="1:26" ht="15.6" x14ac:dyDescent="0.3">
      <c r="A74" s="82"/>
      <c r="B74" s="127" t="s">
        <v>77</v>
      </c>
      <c r="C74" s="175" t="str">
        <f>IF(C7="J","7/107","7/100")</f>
        <v>7/100</v>
      </c>
      <c r="D74" s="176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8"/>
      <c r="S74" s="82"/>
      <c r="T74" s="82"/>
      <c r="U74" s="82"/>
      <c r="V74" s="82"/>
      <c r="W74" s="82"/>
      <c r="X74" s="82"/>
      <c r="Y74" s="82"/>
      <c r="Z74" s="82"/>
    </row>
    <row r="75" spans="1:26" ht="15.6" x14ac:dyDescent="0.3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5.6" x14ac:dyDescent="0.3">
      <c r="A76" s="82"/>
      <c r="B76" s="115" t="s">
        <v>78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6" x14ac:dyDescent="0.3">
      <c r="A77" s="82"/>
      <c r="B77" s="117" t="s">
        <v>79</v>
      </c>
      <c r="C77" s="152">
        <f>IF(C8&gt;0,C8,C9)</f>
        <v>2500</v>
      </c>
      <c r="D77" s="119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6" x14ac:dyDescent="0.3">
      <c r="A78" s="82"/>
      <c r="B78" s="127" t="s">
        <v>80</v>
      </c>
      <c r="C78" s="175" t="str">
        <f>IF(C8&gt;0,"aanbieder","afnemer")</f>
        <v>aanbieder</v>
      </c>
      <c r="D78" s="129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5.6" x14ac:dyDescent="0.3">
      <c r="A79" s="82"/>
      <c r="B79" s="179"/>
      <c r="C79" s="179"/>
      <c r="D79" s="179"/>
      <c r="E79" s="179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5.6" x14ac:dyDescent="0.3">
      <c r="A80" s="82"/>
      <c r="B80" s="115" t="s">
        <v>81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5.6" x14ac:dyDescent="0.3">
      <c r="A81" s="82"/>
      <c r="B81" s="180"/>
      <c r="C81" s="181" t="s">
        <v>58</v>
      </c>
      <c r="D81" s="182" t="s">
        <v>59</v>
      </c>
      <c r="E81" s="115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5.6" x14ac:dyDescent="0.3">
      <c r="A82" s="82"/>
      <c r="B82" s="183" t="s">
        <v>82</v>
      </c>
      <c r="C82" s="140">
        <f t="shared" ref="C82:D82" si="24">F57</f>
        <v>0</v>
      </c>
      <c r="D82" s="142">
        <f t="shared" si="24"/>
        <v>2451.2614678899085</v>
      </c>
      <c r="E82" s="167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6" x14ac:dyDescent="0.3">
      <c r="A83" s="82"/>
      <c r="B83" s="183" t="s">
        <v>83</v>
      </c>
      <c r="C83" s="140">
        <f>IF(C78="aanbieder",C77,0)</f>
        <v>2500</v>
      </c>
      <c r="D83" s="142">
        <f>IF(C78="afnemer",C77,0)</f>
        <v>0</v>
      </c>
      <c r="E83" s="167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6" x14ac:dyDescent="0.3">
      <c r="A84" s="82"/>
      <c r="B84" s="183" t="s">
        <v>84</v>
      </c>
      <c r="C84" s="140">
        <f t="shared" ref="C84:D84" si="25">C82-C83</f>
        <v>-2500</v>
      </c>
      <c r="D84" s="142">
        <f t="shared" si="25"/>
        <v>2451.2614678899085</v>
      </c>
      <c r="E84" s="184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6" x14ac:dyDescent="0.3">
      <c r="A85" s="82"/>
      <c r="B85" s="185" t="s">
        <v>85</v>
      </c>
      <c r="C85" s="186" t="b">
        <f>IF(C84&lt;0,TRUE,FALSE)</f>
        <v>1</v>
      </c>
      <c r="D85" s="186" t="b">
        <f>IF(D84&lt;-0.01,TRUE,FALSE)</f>
        <v>0</v>
      </c>
      <c r="E85" s="115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5.6" x14ac:dyDescent="0.3">
      <c r="A86" s="82"/>
      <c r="B86" s="96" t="s">
        <v>86</v>
      </c>
      <c r="C86" s="98" t="b">
        <f>AND(C85=FALSE,D85=FALSE)</f>
        <v>0</v>
      </c>
      <c r="D86" s="99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5.6" x14ac:dyDescent="0.3">
      <c r="A87" s="82"/>
      <c r="B87" s="96"/>
      <c r="C87" s="98"/>
      <c r="D87" s="99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5.6" x14ac:dyDescent="0.3">
      <c r="A88" s="82"/>
      <c r="B88" s="96" t="s">
        <v>124</v>
      </c>
      <c r="C88" s="187">
        <f>IF(C86=TRUE,C82,(IF(C85=TRUE,C83,D48-D83)))</f>
        <v>2500</v>
      </c>
      <c r="D88" s="99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5.6" x14ac:dyDescent="0.3">
      <c r="A89" s="82"/>
      <c r="B89" s="96" t="s">
        <v>125</v>
      </c>
      <c r="C89" s="187">
        <f>IF(C86=TRUE,D82,(IF(D85=TRUE,D83,D48-C83)))</f>
        <v>-48.738532110091455</v>
      </c>
      <c r="D89" s="99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6" x14ac:dyDescent="0.3">
      <c r="A90" s="82"/>
      <c r="B90" s="96" t="s">
        <v>89</v>
      </c>
      <c r="C90" s="98"/>
      <c r="D90" s="99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5.6" x14ac:dyDescent="0.3">
      <c r="A91" s="82"/>
      <c r="B91" s="96" t="s">
        <v>90</v>
      </c>
      <c r="C91" s="140">
        <f>IF(C78="aanbieder",F56-C8)</f>
        <v>-2500</v>
      </c>
      <c r="D91" s="142">
        <f t="shared" ref="D91:D92" si="26">IF(C91=FALSE,0,C91)</f>
        <v>-2500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6" x14ac:dyDescent="0.3">
      <c r="A92" s="82"/>
      <c r="B92" s="127"/>
      <c r="C92" s="176" t="b">
        <f>IF(C78="afnemer",G56-C9)</f>
        <v>0</v>
      </c>
      <c r="D92" s="129">
        <f t="shared" si="26"/>
        <v>0</v>
      </c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5.6" x14ac:dyDescent="0.3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5.6" x14ac:dyDescent="0.3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5.6" x14ac:dyDescent="0.3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5.6" x14ac:dyDescent="0.3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6" x14ac:dyDescent="0.3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6" x14ac:dyDescent="0.3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6" x14ac:dyDescent="0.3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6" x14ac:dyDescent="0.3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5.6" x14ac:dyDescent="0.3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5.6" x14ac:dyDescent="0.3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5.6" x14ac:dyDescent="0.3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5.6" x14ac:dyDescent="0.3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5.6" x14ac:dyDescent="0.3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5.6" x14ac:dyDescent="0.3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5.6" x14ac:dyDescent="0.3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5.6" x14ac:dyDescent="0.3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5.6" x14ac:dyDescent="0.3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5.6" x14ac:dyDescent="0.3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5.6" x14ac:dyDescent="0.3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5.6" x14ac:dyDescent="0.3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5.6" x14ac:dyDescent="0.3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5.6" x14ac:dyDescent="0.3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5.6" x14ac:dyDescent="0.3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5.6" x14ac:dyDescent="0.3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5.6" x14ac:dyDescent="0.3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5.6" x14ac:dyDescent="0.3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5.6" x14ac:dyDescent="0.3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5.6" x14ac:dyDescent="0.3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5.6" x14ac:dyDescent="0.3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.6" x14ac:dyDescent="0.3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.6" x14ac:dyDescent="0.3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.6" x14ac:dyDescent="0.3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.6" x14ac:dyDescent="0.3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.6" x14ac:dyDescent="0.3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.6" x14ac:dyDescent="0.3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.6" x14ac:dyDescent="0.3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.6" x14ac:dyDescent="0.3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.6" x14ac:dyDescent="0.3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.6" x14ac:dyDescent="0.3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.6" x14ac:dyDescent="0.3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.6" x14ac:dyDescent="0.3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.6" x14ac:dyDescent="0.3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.6" x14ac:dyDescent="0.3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.6" x14ac:dyDescent="0.3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.6" x14ac:dyDescent="0.3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.6" x14ac:dyDescent="0.3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.6" x14ac:dyDescent="0.3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.6" x14ac:dyDescent="0.3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.6" x14ac:dyDescent="0.3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.6" x14ac:dyDescent="0.3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.6" x14ac:dyDescent="0.3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.6" x14ac:dyDescent="0.3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.6" x14ac:dyDescent="0.3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.6" x14ac:dyDescent="0.3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.6" x14ac:dyDescent="0.3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.6" x14ac:dyDescent="0.3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.6" x14ac:dyDescent="0.3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.6" x14ac:dyDescent="0.3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.6" x14ac:dyDescent="0.3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.6" x14ac:dyDescent="0.3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.6" x14ac:dyDescent="0.3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.6" x14ac:dyDescent="0.3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.6" x14ac:dyDescent="0.3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.6" x14ac:dyDescent="0.3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.6" x14ac:dyDescent="0.3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.6" x14ac:dyDescent="0.3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.6" x14ac:dyDescent="0.3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.6" x14ac:dyDescent="0.3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.6" x14ac:dyDescent="0.3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5.6" x14ac:dyDescent="0.3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5.6" x14ac:dyDescent="0.3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5.6" x14ac:dyDescent="0.3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5.6" x14ac:dyDescent="0.3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5.6" x14ac:dyDescent="0.3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5.6" x14ac:dyDescent="0.3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5.6" x14ac:dyDescent="0.3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5.6" x14ac:dyDescent="0.3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5.6" x14ac:dyDescent="0.3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5.6" x14ac:dyDescent="0.3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5.6" x14ac:dyDescent="0.3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5.6" x14ac:dyDescent="0.3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6" x14ac:dyDescent="0.3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5.6" x14ac:dyDescent="0.3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5.6" x14ac:dyDescent="0.3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5.6" x14ac:dyDescent="0.3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5.6" x14ac:dyDescent="0.3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5.6" x14ac:dyDescent="0.3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5.6" x14ac:dyDescent="0.3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5.6" x14ac:dyDescent="0.3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5.6" x14ac:dyDescent="0.3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5.6" x14ac:dyDescent="0.3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5.6" x14ac:dyDescent="0.3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5.6" x14ac:dyDescent="0.3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5.6" x14ac:dyDescent="0.3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5.6" x14ac:dyDescent="0.3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5.6" x14ac:dyDescent="0.3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5.6" x14ac:dyDescent="0.3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5.6" x14ac:dyDescent="0.3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5.6" x14ac:dyDescent="0.3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5.6" x14ac:dyDescent="0.3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5.6" x14ac:dyDescent="0.3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5.6" x14ac:dyDescent="0.3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5.6" x14ac:dyDescent="0.3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5.6" x14ac:dyDescent="0.3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5.6" x14ac:dyDescent="0.3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5.6" x14ac:dyDescent="0.3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5.6" x14ac:dyDescent="0.3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5.6" x14ac:dyDescent="0.3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5.6" x14ac:dyDescent="0.3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5.6" x14ac:dyDescent="0.3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5.6" x14ac:dyDescent="0.3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5.6" x14ac:dyDescent="0.3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5.6" x14ac:dyDescent="0.3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5.6" x14ac:dyDescent="0.3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5.6" x14ac:dyDescent="0.3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5.6" x14ac:dyDescent="0.3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5.6" x14ac:dyDescent="0.3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5.6" x14ac:dyDescent="0.3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5.6" x14ac:dyDescent="0.3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5.6" x14ac:dyDescent="0.3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5.6" x14ac:dyDescent="0.3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5.6" x14ac:dyDescent="0.3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5.6" x14ac:dyDescent="0.3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5.6" x14ac:dyDescent="0.3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5.6" x14ac:dyDescent="0.3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5.6" x14ac:dyDescent="0.3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5.6" x14ac:dyDescent="0.3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5.6" x14ac:dyDescent="0.3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5.6" x14ac:dyDescent="0.3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5.6" x14ac:dyDescent="0.3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5.6" x14ac:dyDescent="0.3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5.6" x14ac:dyDescent="0.3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5.6" x14ac:dyDescent="0.3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5.6" x14ac:dyDescent="0.3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5.6" x14ac:dyDescent="0.3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5.6" x14ac:dyDescent="0.3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5.6" x14ac:dyDescent="0.3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5.6" x14ac:dyDescent="0.3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5.6" x14ac:dyDescent="0.3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5.6" x14ac:dyDescent="0.3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5.6" x14ac:dyDescent="0.3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5.6" x14ac:dyDescent="0.3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5.6" x14ac:dyDescent="0.3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5.6" x14ac:dyDescent="0.3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5.6" x14ac:dyDescent="0.3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5.6" x14ac:dyDescent="0.3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5.6" x14ac:dyDescent="0.3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5.6" x14ac:dyDescent="0.3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5.6" x14ac:dyDescent="0.3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5.6" x14ac:dyDescent="0.3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5.6" x14ac:dyDescent="0.3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5.6" x14ac:dyDescent="0.3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5.6" x14ac:dyDescent="0.3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5.6" x14ac:dyDescent="0.3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5.6" x14ac:dyDescent="0.3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5.6" x14ac:dyDescent="0.3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5.6" x14ac:dyDescent="0.3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5.6" x14ac:dyDescent="0.3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5.6" x14ac:dyDescent="0.3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5.6" x14ac:dyDescent="0.3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5.6" x14ac:dyDescent="0.3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5.6" x14ac:dyDescent="0.3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5.6" x14ac:dyDescent="0.3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5.6" x14ac:dyDescent="0.3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5.6" x14ac:dyDescent="0.3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5.6" x14ac:dyDescent="0.3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5.6" x14ac:dyDescent="0.3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5.6" x14ac:dyDescent="0.3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5.6" x14ac:dyDescent="0.3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5.6" x14ac:dyDescent="0.3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5.6" x14ac:dyDescent="0.3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5.6" x14ac:dyDescent="0.3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5.6" x14ac:dyDescent="0.3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5.6" x14ac:dyDescent="0.3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5.6" x14ac:dyDescent="0.3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5.6" x14ac:dyDescent="0.3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5.6" x14ac:dyDescent="0.3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5.6" x14ac:dyDescent="0.3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5.6" x14ac:dyDescent="0.3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5.6" x14ac:dyDescent="0.3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5.6" x14ac:dyDescent="0.3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5.6" x14ac:dyDescent="0.3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5.6" x14ac:dyDescent="0.3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5.6" x14ac:dyDescent="0.3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5.6" x14ac:dyDescent="0.3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5.6" x14ac:dyDescent="0.3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5.6" x14ac:dyDescent="0.3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5.6" x14ac:dyDescent="0.3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5.6" x14ac:dyDescent="0.3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5.6" x14ac:dyDescent="0.3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5.6" x14ac:dyDescent="0.3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5.6" x14ac:dyDescent="0.3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5.6" x14ac:dyDescent="0.3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5.6" x14ac:dyDescent="0.3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5.6" x14ac:dyDescent="0.3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5.6" x14ac:dyDescent="0.3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5.6" x14ac:dyDescent="0.3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5.6" x14ac:dyDescent="0.3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5.6" x14ac:dyDescent="0.3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5.6" x14ac:dyDescent="0.3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5.6" x14ac:dyDescent="0.3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5.6" x14ac:dyDescent="0.3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5.6" x14ac:dyDescent="0.3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5.6" x14ac:dyDescent="0.3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5.6" x14ac:dyDescent="0.3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5.6" x14ac:dyDescent="0.3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5.6" x14ac:dyDescent="0.3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5.6" x14ac:dyDescent="0.3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5.6" x14ac:dyDescent="0.3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5.6" x14ac:dyDescent="0.3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5.6" x14ac:dyDescent="0.3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5.6" x14ac:dyDescent="0.3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5.6" x14ac:dyDescent="0.3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5.6" x14ac:dyDescent="0.3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5.6" x14ac:dyDescent="0.3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5.6" x14ac:dyDescent="0.3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5.6" x14ac:dyDescent="0.3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5.6" x14ac:dyDescent="0.3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5.6" x14ac:dyDescent="0.3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5.6" x14ac:dyDescent="0.3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5.6" x14ac:dyDescent="0.3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5.6" x14ac:dyDescent="0.3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5.6" x14ac:dyDescent="0.3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5.6" x14ac:dyDescent="0.3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5.6" x14ac:dyDescent="0.3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5.6" x14ac:dyDescent="0.3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5.6" x14ac:dyDescent="0.3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5.6" x14ac:dyDescent="0.3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5.6" x14ac:dyDescent="0.3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5.6" x14ac:dyDescent="0.3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5.6" x14ac:dyDescent="0.3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5.6" x14ac:dyDescent="0.3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5.6" x14ac:dyDescent="0.3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5.6" x14ac:dyDescent="0.3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5.6" x14ac:dyDescent="0.3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5.6" x14ac:dyDescent="0.3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5.6" x14ac:dyDescent="0.3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5.6" x14ac:dyDescent="0.3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5.6" x14ac:dyDescent="0.3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5.6" x14ac:dyDescent="0.3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5.6" x14ac:dyDescent="0.3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5.6" x14ac:dyDescent="0.3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5.6" x14ac:dyDescent="0.3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5.6" x14ac:dyDescent="0.3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5.6" x14ac:dyDescent="0.3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5.6" x14ac:dyDescent="0.3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5.6" x14ac:dyDescent="0.3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5.6" x14ac:dyDescent="0.3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5.6" x14ac:dyDescent="0.3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5.6" x14ac:dyDescent="0.3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5.6" x14ac:dyDescent="0.3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5.6" x14ac:dyDescent="0.3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5.6" x14ac:dyDescent="0.3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5.6" x14ac:dyDescent="0.3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5.6" x14ac:dyDescent="0.3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5.6" x14ac:dyDescent="0.3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5.6" x14ac:dyDescent="0.3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5.6" x14ac:dyDescent="0.3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5.6" x14ac:dyDescent="0.3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5.6" x14ac:dyDescent="0.3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5.6" x14ac:dyDescent="0.3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5.6" x14ac:dyDescent="0.3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5.6" x14ac:dyDescent="0.3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5.6" x14ac:dyDescent="0.3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5.6" x14ac:dyDescent="0.3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5.6" x14ac:dyDescent="0.3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5.6" x14ac:dyDescent="0.3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5.6" x14ac:dyDescent="0.3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5.6" x14ac:dyDescent="0.3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5.6" x14ac:dyDescent="0.3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5.6" x14ac:dyDescent="0.3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5.6" x14ac:dyDescent="0.3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5.6" x14ac:dyDescent="0.3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5.6" x14ac:dyDescent="0.3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5.6" x14ac:dyDescent="0.3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5.6" x14ac:dyDescent="0.3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5.6" x14ac:dyDescent="0.3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5.6" x14ac:dyDescent="0.3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5.6" x14ac:dyDescent="0.3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5.6" x14ac:dyDescent="0.3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5.6" x14ac:dyDescent="0.3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5.6" x14ac:dyDescent="0.3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5.6" x14ac:dyDescent="0.3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5.6" x14ac:dyDescent="0.3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5.6" x14ac:dyDescent="0.3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5.6" x14ac:dyDescent="0.3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5.6" x14ac:dyDescent="0.3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5.6" x14ac:dyDescent="0.3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5.6" x14ac:dyDescent="0.3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5.6" x14ac:dyDescent="0.3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5.6" x14ac:dyDescent="0.3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5.6" x14ac:dyDescent="0.3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5.6" x14ac:dyDescent="0.3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5.6" x14ac:dyDescent="0.3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5.6" x14ac:dyDescent="0.3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5.6" x14ac:dyDescent="0.3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5.6" x14ac:dyDescent="0.3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5.6" x14ac:dyDescent="0.3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5.6" x14ac:dyDescent="0.3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5.6" x14ac:dyDescent="0.3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5.6" x14ac:dyDescent="0.3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5.6" x14ac:dyDescent="0.3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5.6" x14ac:dyDescent="0.3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5.6" x14ac:dyDescent="0.3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5.6" x14ac:dyDescent="0.3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5.6" x14ac:dyDescent="0.3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5.6" x14ac:dyDescent="0.3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5.6" x14ac:dyDescent="0.3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5.6" x14ac:dyDescent="0.3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5.6" x14ac:dyDescent="0.3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5.6" x14ac:dyDescent="0.3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5.6" x14ac:dyDescent="0.3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5.6" x14ac:dyDescent="0.3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5.6" x14ac:dyDescent="0.3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5.6" x14ac:dyDescent="0.3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5.6" x14ac:dyDescent="0.3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5.6" x14ac:dyDescent="0.3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5.6" x14ac:dyDescent="0.3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5.6" x14ac:dyDescent="0.3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5.6" x14ac:dyDescent="0.3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5.6" x14ac:dyDescent="0.3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5.6" x14ac:dyDescent="0.3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5.6" x14ac:dyDescent="0.3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5.6" x14ac:dyDescent="0.3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5.6" x14ac:dyDescent="0.3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5.6" x14ac:dyDescent="0.3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5.6" x14ac:dyDescent="0.3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5.6" x14ac:dyDescent="0.3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5.6" x14ac:dyDescent="0.3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5.6" x14ac:dyDescent="0.3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5.6" x14ac:dyDescent="0.3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5.6" x14ac:dyDescent="0.3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5.6" x14ac:dyDescent="0.3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5.6" x14ac:dyDescent="0.3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5.6" x14ac:dyDescent="0.3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5.6" x14ac:dyDescent="0.3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5.6" x14ac:dyDescent="0.3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5.6" x14ac:dyDescent="0.3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5.6" x14ac:dyDescent="0.3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5.6" x14ac:dyDescent="0.3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5.6" x14ac:dyDescent="0.3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5.6" x14ac:dyDescent="0.3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5.6" x14ac:dyDescent="0.3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5.6" x14ac:dyDescent="0.3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5.6" x14ac:dyDescent="0.3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5.6" x14ac:dyDescent="0.3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5.6" x14ac:dyDescent="0.3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5.6" x14ac:dyDescent="0.3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5.6" x14ac:dyDescent="0.3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5.6" x14ac:dyDescent="0.3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5.6" x14ac:dyDescent="0.3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5.6" x14ac:dyDescent="0.3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5.6" x14ac:dyDescent="0.3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5.6" x14ac:dyDescent="0.3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5.6" x14ac:dyDescent="0.3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5.6" x14ac:dyDescent="0.3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5.6" x14ac:dyDescent="0.3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5.6" x14ac:dyDescent="0.3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5.6" x14ac:dyDescent="0.3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5.6" x14ac:dyDescent="0.3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5.6" x14ac:dyDescent="0.3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5.6" x14ac:dyDescent="0.3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5.6" x14ac:dyDescent="0.3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5.6" x14ac:dyDescent="0.3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5.6" x14ac:dyDescent="0.3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5.6" x14ac:dyDescent="0.3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5.6" x14ac:dyDescent="0.3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5.6" x14ac:dyDescent="0.3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5.6" x14ac:dyDescent="0.3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5.6" x14ac:dyDescent="0.3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5.6" x14ac:dyDescent="0.3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5.6" x14ac:dyDescent="0.3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5.6" x14ac:dyDescent="0.3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5.6" x14ac:dyDescent="0.3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5.6" x14ac:dyDescent="0.3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5.6" x14ac:dyDescent="0.3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5.6" x14ac:dyDescent="0.3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5.6" x14ac:dyDescent="0.3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5.6" x14ac:dyDescent="0.3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5.6" x14ac:dyDescent="0.3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5.6" x14ac:dyDescent="0.3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5.6" x14ac:dyDescent="0.3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5.6" x14ac:dyDescent="0.3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5.6" x14ac:dyDescent="0.3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5.6" x14ac:dyDescent="0.3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5.6" x14ac:dyDescent="0.3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5.6" x14ac:dyDescent="0.3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5.6" x14ac:dyDescent="0.3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5.6" x14ac:dyDescent="0.3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5.6" x14ac:dyDescent="0.3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5.6" x14ac:dyDescent="0.3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5.6" x14ac:dyDescent="0.3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5.6" x14ac:dyDescent="0.3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5.6" x14ac:dyDescent="0.3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5.6" x14ac:dyDescent="0.3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5.6" x14ac:dyDescent="0.3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5.6" x14ac:dyDescent="0.3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5.6" x14ac:dyDescent="0.3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5.6" x14ac:dyDescent="0.3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5.6" x14ac:dyDescent="0.3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5.6" x14ac:dyDescent="0.3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5.6" x14ac:dyDescent="0.3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5.6" x14ac:dyDescent="0.3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5.6" x14ac:dyDescent="0.3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5.6" x14ac:dyDescent="0.3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5.6" x14ac:dyDescent="0.3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5.6" x14ac:dyDescent="0.3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5.6" x14ac:dyDescent="0.3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5.6" x14ac:dyDescent="0.3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5.6" x14ac:dyDescent="0.3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5.6" x14ac:dyDescent="0.3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5.6" x14ac:dyDescent="0.3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5.6" x14ac:dyDescent="0.3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5.6" x14ac:dyDescent="0.3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5.6" x14ac:dyDescent="0.3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5.6" x14ac:dyDescent="0.3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5.6" x14ac:dyDescent="0.3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5.6" x14ac:dyDescent="0.3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5.6" x14ac:dyDescent="0.3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15.6" x14ac:dyDescent="0.3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15.6" x14ac:dyDescent="0.3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5.6" x14ac:dyDescent="0.3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5.6" x14ac:dyDescent="0.3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5.6" x14ac:dyDescent="0.3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5.6" x14ac:dyDescent="0.3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5.6" x14ac:dyDescent="0.3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5.6" x14ac:dyDescent="0.3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5.6" x14ac:dyDescent="0.3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5.6" x14ac:dyDescent="0.3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5.6" x14ac:dyDescent="0.3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5.6" x14ac:dyDescent="0.3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5.6" x14ac:dyDescent="0.3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5.6" x14ac:dyDescent="0.3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5.6" x14ac:dyDescent="0.3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5.6" x14ac:dyDescent="0.3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5.6" x14ac:dyDescent="0.3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5.6" x14ac:dyDescent="0.3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5.6" x14ac:dyDescent="0.3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5.6" x14ac:dyDescent="0.3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5.6" x14ac:dyDescent="0.3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5.6" x14ac:dyDescent="0.3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5.6" x14ac:dyDescent="0.3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5.6" x14ac:dyDescent="0.3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5.6" x14ac:dyDescent="0.3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5.6" x14ac:dyDescent="0.3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5.6" x14ac:dyDescent="0.3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5.6" x14ac:dyDescent="0.3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5.6" x14ac:dyDescent="0.3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5.6" x14ac:dyDescent="0.3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5.6" x14ac:dyDescent="0.3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5.6" x14ac:dyDescent="0.3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5.6" x14ac:dyDescent="0.3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5.6" x14ac:dyDescent="0.3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5.6" x14ac:dyDescent="0.3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5.6" x14ac:dyDescent="0.3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5.6" x14ac:dyDescent="0.3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5.6" x14ac:dyDescent="0.3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5.6" x14ac:dyDescent="0.3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5.6" x14ac:dyDescent="0.3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5.6" x14ac:dyDescent="0.3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15.6" x14ac:dyDescent="0.3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15.6" x14ac:dyDescent="0.3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15.6" x14ac:dyDescent="0.3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15.6" x14ac:dyDescent="0.3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15.6" x14ac:dyDescent="0.3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15.6" x14ac:dyDescent="0.3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15.6" x14ac:dyDescent="0.3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15.6" x14ac:dyDescent="0.3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15.6" x14ac:dyDescent="0.3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15.6" x14ac:dyDescent="0.3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15.6" x14ac:dyDescent="0.3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15.6" x14ac:dyDescent="0.3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15.6" x14ac:dyDescent="0.3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15.6" x14ac:dyDescent="0.3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15.6" x14ac:dyDescent="0.3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15.6" x14ac:dyDescent="0.3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15.6" x14ac:dyDescent="0.3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15.6" x14ac:dyDescent="0.3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15.6" x14ac:dyDescent="0.3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15.6" x14ac:dyDescent="0.3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15.6" x14ac:dyDescent="0.3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15.6" x14ac:dyDescent="0.3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15.6" x14ac:dyDescent="0.3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15.6" x14ac:dyDescent="0.3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15.6" x14ac:dyDescent="0.3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15.6" x14ac:dyDescent="0.3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15.6" x14ac:dyDescent="0.3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15.6" x14ac:dyDescent="0.3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15.6" x14ac:dyDescent="0.3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15.6" x14ac:dyDescent="0.3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15.6" x14ac:dyDescent="0.3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15.6" x14ac:dyDescent="0.3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15.6" x14ac:dyDescent="0.3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15.6" x14ac:dyDescent="0.3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15.6" x14ac:dyDescent="0.3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15.6" x14ac:dyDescent="0.3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15.6" x14ac:dyDescent="0.3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15.6" x14ac:dyDescent="0.3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15.6" x14ac:dyDescent="0.3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15.6" x14ac:dyDescent="0.3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15.6" x14ac:dyDescent="0.3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15.6" x14ac:dyDescent="0.3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15.6" x14ac:dyDescent="0.3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15.6" x14ac:dyDescent="0.3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15.6" x14ac:dyDescent="0.3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15.6" x14ac:dyDescent="0.3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15.6" x14ac:dyDescent="0.3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15.6" x14ac:dyDescent="0.3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15.6" x14ac:dyDescent="0.3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15.6" x14ac:dyDescent="0.3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15.6" x14ac:dyDescent="0.3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15.6" x14ac:dyDescent="0.3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15.6" x14ac:dyDescent="0.3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15.6" x14ac:dyDescent="0.3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15.6" x14ac:dyDescent="0.3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15.6" x14ac:dyDescent="0.3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15.6" x14ac:dyDescent="0.3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15.6" x14ac:dyDescent="0.3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15.6" x14ac:dyDescent="0.3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15.6" x14ac:dyDescent="0.3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15.6" x14ac:dyDescent="0.3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15.6" x14ac:dyDescent="0.3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15.6" x14ac:dyDescent="0.3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15.6" x14ac:dyDescent="0.3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15.6" x14ac:dyDescent="0.3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15.6" x14ac:dyDescent="0.3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15.6" x14ac:dyDescent="0.3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15.6" x14ac:dyDescent="0.3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15.6" x14ac:dyDescent="0.3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15.6" x14ac:dyDescent="0.3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15.6" x14ac:dyDescent="0.3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15.6" x14ac:dyDescent="0.3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15.6" x14ac:dyDescent="0.3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15.6" x14ac:dyDescent="0.3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15.6" x14ac:dyDescent="0.3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15.6" x14ac:dyDescent="0.3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15.6" x14ac:dyDescent="0.3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15.6" x14ac:dyDescent="0.3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15.6" x14ac:dyDescent="0.3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15.6" x14ac:dyDescent="0.3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15.6" x14ac:dyDescent="0.3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15.6" x14ac:dyDescent="0.3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15.6" x14ac:dyDescent="0.3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15.6" x14ac:dyDescent="0.3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15.6" x14ac:dyDescent="0.3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15.6" x14ac:dyDescent="0.3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15.6" x14ac:dyDescent="0.3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15.6" x14ac:dyDescent="0.3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15.6" x14ac:dyDescent="0.3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15.6" x14ac:dyDescent="0.3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15.6" x14ac:dyDescent="0.3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15.6" x14ac:dyDescent="0.3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15.6" x14ac:dyDescent="0.3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15.6" x14ac:dyDescent="0.3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15.6" x14ac:dyDescent="0.3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15.6" x14ac:dyDescent="0.3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15.6" x14ac:dyDescent="0.3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15.6" x14ac:dyDescent="0.3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15.6" x14ac:dyDescent="0.3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15.6" x14ac:dyDescent="0.3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15.6" x14ac:dyDescent="0.3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15.6" x14ac:dyDescent="0.3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15.6" x14ac:dyDescent="0.3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15.6" x14ac:dyDescent="0.3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15.6" x14ac:dyDescent="0.3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15.6" x14ac:dyDescent="0.3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15.6" x14ac:dyDescent="0.3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15.6" x14ac:dyDescent="0.3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15.6" x14ac:dyDescent="0.3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15.6" x14ac:dyDescent="0.3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15.6" x14ac:dyDescent="0.3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15.6" x14ac:dyDescent="0.3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15.6" x14ac:dyDescent="0.3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15.6" x14ac:dyDescent="0.3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15.6" x14ac:dyDescent="0.3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15.6" x14ac:dyDescent="0.3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15.6" x14ac:dyDescent="0.3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15.6" x14ac:dyDescent="0.3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15.6" x14ac:dyDescent="0.3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15.6" x14ac:dyDescent="0.3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15.6" x14ac:dyDescent="0.3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15.6" x14ac:dyDescent="0.3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15.6" x14ac:dyDescent="0.3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15.6" x14ac:dyDescent="0.3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15.6" x14ac:dyDescent="0.3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15.6" x14ac:dyDescent="0.3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15.6" x14ac:dyDescent="0.3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15.6" x14ac:dyDescent="0.3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15.6" x14ac:dyDescent="0.3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15.6" x14ac:dyDescent="0.3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15.6" x14ac:dyDescent="0.3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15.6" x14ac:dyDescent="0.3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15.6" x14ac:dyDescent="0.3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15.6" x14ac:dyDescent="0.3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15.6" x14ac:dyDescent="0.3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15.6" x14ac:dyDescent="0.3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15.6" x14ac:dyDescent="0.3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15.6" x14ac:dyDescent="0.3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15.6" x14ac:dyDescent="0.3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15.6" x14ac:dyDescent="0.3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15.6" x14ac:dyDescent="0.3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15.6" x14ac:dyDescent="0.3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15.6" x14ac:dyDescent="0.3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15.6" x14ac:dyDescent="0.3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15.6" x14ac:dyDescent="0.3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15.6" x14ac:dyDescent="0.3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15.6" x14ac:dyDescent="0.3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15.6" x14ac:dyDescent="0.3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15.6" x14ac:dyDescent="0.3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15.6" x14ac:dyDescent="0.3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15.6" x14ac:dyDescent="0.3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15.6" x14ac:dyDescent="0.3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15.6" x14ac:dyDescent="0.3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15.6" x14ac:dyDescent="0.3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15.6" x14ac:dyDescent="0.3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15.6" x14ac:dyDescent="0.3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15.6" x14ac:dyDescent="0.3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15.6" x14ac:dyDescent="0.3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15.6" x14ac:dyDescent="0.3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15.6" x14ac:dyDescent="0.3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15.6" x14ac:dyDescent="0.3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15.6" x14ac:dyDescent="0.3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15.6" x14ac:dyDescent="0.3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15.6" x14ac:dyDescent="0.3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15.6" x14ac:dyDescent="0.3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15.6" x14ac:dyDescent="0.3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15.6" x14ac:dyDescent="0.3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15.6" x14ac:dyDescent="0.3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15.6" x14ac:dyDescent="0.3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15.6" x14ac:dyDescent="0.3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15.6" x14ac:dyDescent="0.3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15.6" x14ac:dyDescent="0.3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15.6" x14ac:dyDescent="0.3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15.6" x14ac:dyDescent="0.3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15.6" x14ac:dyDescent="0.3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15.6" x14ac:dyDescent="0.3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15.6" x14ac:dyDescent="0.3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15.6" x14ac:dyDescent="0.3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15.6" x14ac:dyDescent="0.3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15.6" x14ac:dyDescent="0.3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15.6" x14ac:dyDescent="0.3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15.6" x14ac:dyDescent="0.3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15.6" x14ac:dyDescent="0.3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15.6" x14ac:dyDescent="0.3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15.6" x14ac:dyDescent="0.3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15.6" x14ac:dyDescent="0.3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15.6" x14ac:dyDescent="0.3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15.6" x14ac:dyDescent="0.3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15.6" x14ac:dyDescent="0.3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15.6" x14ac:dyDescent="0.3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15.6" x14ac:dyDescent="0.3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15.6" x14ac:dyDescent="0.3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15.6" x14ac:dyDescent="0.3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15.6" x14ac:dyDescent="0.3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15.6" x14ac:dyDescent="0.3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15.6" x14ac:dyDescent="0.3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15.6" x14ac:dyDescent="0.3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15.6" x14ac:dyDescent="0.3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15.6" x14ac:dyDescent="0.3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15.6" x14ac:dyDescent="0.3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15.6" x14ac:dyDescent="0.3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15.6" x14ac:dyDescent="0.3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15.6" x14ac:dyDescent="0.3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15.6" x14ac:dyDescent="0.3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15.6" x14ac:dyDescent="0.3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15.6" x14ac:dyDescent="0.3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15.6" x14ac:dyDescent="0.3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15.6" x14ac:dyDescent="0.3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15.6" x14ac:dyDescent="0.3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15.6" x14ac:dyDescent="0.3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15.6" x14ac:dyDescent="0.3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15.6" x14ac:dyDescent="0.3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15.6" x14ac:dyDescent="0.3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15.6" x14ac:dyDescent="0.3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15.6" x14ac:dyDescent="0.3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15.6" x14ac:dyDescent="0.3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15.6" x14ac:dyDescent="0.3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15.6" x14ac:dyDescent="0.3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15.6" x14ac:dyDescent="0.3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15.6" x14ac:dyDescent="0.3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15.6" x14ac:dyDescent="0.3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15.6" x14ac:dyDescent="0.3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15.6" x14ac:dyDescent="0.3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15.6" x14ac:dyDescent="0.3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15.6" x14ac:dyDescent="0.3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15.6" x14ac:dyDescent="0.3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15.6" x14ac:dyDescent="0.3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15.6" x14ac:dyDescent="0.3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15.6" x14ac:dyDescent="0.3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15.6" x14ac:dyDescent="0.3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15.6" x14ac:dyDescent="0.3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15.6" x14ac:dyDescent="0.3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15.6" x14ac:dyDescent="0.3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15.6" x14ac:dyDescent="0.3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15.6" x14ac:dyDescent="0.3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15.6" x14ac:dyDescent="0.3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15.6" x14ac:dyDescent="0.3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15.6" x14ac:dyDescent="0.3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15.6" x14ac:dyDescent="0.3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15.6" x14ac:dyDescent="0.3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15.6" x14ac:dyDescent="0.3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15.6" x14ac:dyDescent="0.3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15.6" x14ac:dyDescent="0.3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15.6" x14ac:dyDescent="0.3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15.6" x14ac:dyDescent="0.3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15.6" x14ac:dyDescent="0.3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15.6" x14ac:dyDescent="0.3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15.6" x14ac:dyDescent="0.3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15.6" x14ac:dyDescent="0.3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15.6" x14ac:dyDescent="0.3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15.6" x14ac:dyDescent="0.3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15.6" x14ac:dyDescent="0.3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15.6" x14ac:dyDescent="0.3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15.6" x14ac:dyDescent="0.3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15.6" x14ac:dyDescent="0.3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15.6" x14ac:dyDescent="0.3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15.6" x14ac:dyDescent="0.3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15.6" x14ac:dyDescent="0.3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15.6" x14ac:dyDescent="0.3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15.6" x14ac:dyDescent="0.3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15.6" x14ac:dyDescent="0.3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15.6" x14ac:dyDescent="0.3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15.6" x14ac:dyDescent="0.3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15.6" x14ac:dyDescent="0.3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15.6" x14ac:dyDescent="0.3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15.6" x14ac:dyDescent="0.3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15.6" x14ac:dyDescent="0.3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15.6" x14ac:dyDescent="0.3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15.6" x14ac:dyDescent="0.3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15.6" x14ac:dyDescent="0.3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15.6" x14ac:dyDescent="0.3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15.6" x14ac:dyDescent="0.3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15.6" x14ac:dyDescent="0.3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15.6" x14ac:dyDescent="0.3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15.6" x14ac:dyDescent="0.3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15.6" x14ac:dyDescent="0.3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15.6" x14ac:dyDescent="0.3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15.6" x14ac:dyDescent="0.3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15.6" x14ac:dyDescent="0.3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15.6" x14ac:dyDescent="0.3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15.6" x14ac:dyDescent="0.3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15.6" x14ac:dyDescent="0.3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15.6" x14ac:dyDescent="0.3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15.6" x14ac:dyDescent="0.3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15.6" x14ac:dyDescent="0.3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15.6" x14ac:dyDescent="0.3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15.6" x14ac:dyDescent="0.3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15.6" x14ac:dyDescent="0.3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15.6" x14ac:dyDescent="0.3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15.6" x14ac:dyDescent="0.3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15.6" x14ac:dyDescent="0.3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15.6" x14ac:dyDescent="0.3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15.6" x14ac:dyDescent="0.3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15.6" x14ac:dyDescent="0.3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15.6" x14ac:dyDescent="0.3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15.6" x14ac:dyDescent="0.3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15.6" x14ac:dyDescent="0.3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15.6" x14ac:dyDescent="0.3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15.6" x14ac:dyDescent="0.3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15.6" x14ac:dyDescent="0.3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15.6" x14ac:dyDescent="0.3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15.6" x14ac:dyDescent="0.3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15.6" x14ac:dyDescent="0.3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15.6" x14ac:dyDescent="0.3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15.6" x14ac:dyDescent="0.3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15.6" x14ac:dyDescent="0.3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15.6" x14ac:dyDescent="0.3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15.6" x14ac:dyDescent="0.3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15.6" x14ac:dyDescent="0.3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15.6" x14ac:dyDescent="0.3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15.6" x14ac:dyDescent="0.3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15.6" x14ac:dyDescent="0.3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15.6" x14ac:dyDescent="0.3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15.6" x14ac:dyDescent="0.3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15.6" x14ac:dyDescent="0.3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15.6" x14ac:dyDescent="0.3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15.6" x14ac:dyDescent="0.3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15.6" x14ac:dyDescent="0.3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15.6" x14ac:dyDescent="0.3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15.6" x14ac:dyDescent="0.3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15.6" x14ac:dyDescent="0.3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15.6" x14ac:dyDescent="0.3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15.6" x14ac:dyDescent="0.3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15.6" x14ac:dyDescent="0.3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15.6" x14ac:dyDescent="0.3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15.6" x14ac:dyDescent="0.3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15.6" x14ac:dyDescent="0.3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15.6" x14ac:dyDescent="0.3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15.6" x14ac:dyDescent="0.3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15.6" x14ac:dyDescent="0.3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15.6" x14ac:dyDescent="0.3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15.6" x14ac:dyDescent="0.3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15.6" x14ac:dyDescent="0.3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15.6" x14ac:dyDescent="0.3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15.6" x14ac:dyDescent="0.3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15.6" x14ac:dyDescent="0.3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15.6" x14ac:dyDescent="0.3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15.6" x14ac:dyDescent="0.3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15.6" x14ac:dyDescent="0.3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15.6" x14ac:dyDescent="0.3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15.6" x14ac:dyDescent="0.3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15.6" x14ac:dyDescent="0.3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15.6" x14ac:dyDescent="0.3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15.6" x14ac:dyDescent="0.3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15.6" x14ac:dyDescent="0.3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15.6" x14ac:dyDescent="0.3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15.6" x14ac:dyDescent="0.3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15.6" x14ac:dyDescent="0.3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15.6" x14ac:dyDescent="0.3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15.6" x14ac:dyDescent="0.3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15.6" x14ac:dyDescent="0.3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15.6" x14ac:dyDescent="0.3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15.6" x14ac:dyDescent="0.3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15.6" x14ac:dyDescent="0.3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15.6" x14ac:dyDescent="0.3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15.6" x14ac:dyDescent="0.3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15.6" x14ac:dyDescent="0.3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15.6" x14ac:dyDescent="0.3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15.6" x14ac:dyDescent="0.3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15.6" x14ac:dyDescent="0.3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15.6" x14ac:dyDescent="0.3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15.6" x14ac:dyDescent="0.3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15.6" x14ac:dyDescent="0.3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15.6" x14ac:dyDescent="0.3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15.6" x14ac:dyDescent="0.3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15.6" x14ac:dyDescent="0.3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15.6" x14ac:dyDescent="0.3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15.6" x14ac:dyDescent="0.3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15.6" x14ac:dyDescent="0.3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15.6" x14ac:dyDescent="0.3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15.6" x14ac:dyDescent="0.3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15.6" x14ac:dyDescent="0.3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15.6" x14ac:dyDescent="0.3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15.6" x14ac:dyDescent="0.3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15.6" x14ac:dyDescent="0.3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15.6" x14ac:dyDescent="0.3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15.6" x14ac:dyDescent="0.3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15.6" x14ac:dyDescent="0.3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15.6" x14ac:dyDescent="0.3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15.6" x14ac:dyDescent="0.3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15.6" x14ac:dyDescent="0.3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15.6" x14ac:dyDescent="0.3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15.6" x14ac:dyDescent="0.3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15.6" x14ac:dyDescent="0.3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15.6" x14ac:dyDescent="0.3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15.6" x14ac:dyDescent="0.3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15.6" x14ac:dyDescent="0.3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15.6" x14ac:dyDescent="0.3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15.6" x14ac:dyDescent="0.3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15.6" x14ac:dyDescent="0.3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15.6" x14ac:dyDescent="0.3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15.6" x14ac:dyDescent="0.3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15.6" x14ac:dyDescent="0.3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15.6" x14ac:dyDescent="0.3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15.6" x14ac:dyDescent="0.3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15.6" x14ac:dyDescent="0.3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15.6" x14ac:dyDescent="0.3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15.6" x14ac:dyDescent="0.3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15.6" x14ac:dyDescent="0.3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15.6" x14ac:dyDescent="0.3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15.6" x14ac:dyDescent="0.3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15.6" x14ac:dyDescent="0.3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15.6" x14ac:dyDescent="0.3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15.6" x14ac:dyDescent="0.3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15.6" x14ac:dyDescent="0.3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15.6" x14ac:dyDescent="0.3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15.6" x14ac:dyDescent="0.3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15.6" x14ac:dyDescent="0.3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15.6" x14ac:dyDescent="0.3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15.6" x14ac:dyDescent="0.3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15.6" x14ac:dyDescent="0.3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15.6" x14ac:dyDescent="0.3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15.6" x14ac:dyDescent="0.3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15.6" x14ac:dyDescent="0.3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15.6" x14ac:dyDescent="0.3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15.6" x14ac:dyDescent="0.3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15.6" x14ac:dyDescent="0.3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15.6" x14ac:dyDescent="0.3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15.6" x14ac:dyDescent="0.3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15.6" x14ac:dyDescent="0.3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15.6" x14ac:dyDescent="0.3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15.6" x14ac:dyDescent="0.3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15.6" x14ac:dyDescent="0.3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15.6" x14ac:dyDescent="0.3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15.6" x14ac:dyDescent="0.3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15.6" x14ac:dyDescent="0.3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15.6" x14ac:dyDescent="0.3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15.6" x14ac:dyDescent="0.3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15.6" x14ac:dyDescent="0.3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15.6" x14ac:dyDescent="0.3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15.6" x14ac:dyDescent="0.3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15.6" x14ac:dyDescent="0.3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15.6" x14ac:dyDescent="0.3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15.6" x14ac:dyDescent="0.3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15.6" x14ac:dyDescent="0.3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15.6" x14ac:dyDescent="0.3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15.6" x14ac:dyDescent="0.3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15.6" x14ac:dyDescent="0.3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15.6" x14ac:dyDescent="0.3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15.6" x14ac:dyDescent="0.3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15.6" x14ac:dyDescent="0.3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15.6" x14ac:dyDescent="0.3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15.6" x14ac:dyDescent="0.3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15.6" x14ac:dyDescent="0.3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15.6" x14ac:dyDescent="0.3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15.6" x14ac:dyDescent="0.3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spans="1:26" ht="15.6" x14ac:dyDescent="0.3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spans="1:26" ht="15.6" x14ac:dyDescent="0.3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sheetProtection algorithmName="SHA-512" hashValue="XkcZ0ds7bY/9QHPrSrtWQqH43ASq6f9W3y/IKCZcjkbZ6Ntf+ZDReJf0Rf+eTP8Ozi3S6A+HVrQ0BmhyeUJCOQ==" saltValue="L1+O/T6zrALktRMk8DV1ow==" spinCount="100000" sheet="1" objects="1" scenarios="1"/>
  <conditionalFormatting sqref="D12:D15">
    <cfRule type="cellIs" dxfId="3" priority="1" operator="lessThan">
      <formula>0</formula>
    </cfRule>
  </conditionalFormatting>
  <conditionalFormatting sqref="D65:E65">
    <cfRule type="expression" dxfId="2" priority="2">
      <formula>+#REF!&gt;C65</formula>
    </cfRule>
  </conditionalFormatting>
  <conditionalFormatting sqref="D69:E69">
    <cfRule type="expression" dxfId="1" priority="3">
      <formula>+#REF!&gt;C69</formula>
    </cfRule>
  </conditionalFormatting>
  <conditionalFormatting sqref="D66:E68">
    <cfRule type="expression" dxfId="0" priority="4">
      <formula>+#REF!&gt;C66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Partage</vt:lpstr>
      <vt:lpstr>Suppletie</vt:lpstr>
      <vt:lpstr>Staffel</vt:lpstr>
      <vt:lpstr>Huur</vt:lpstr>
      <vt:lpstr>Uitkoop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DIP</cp:lastModifiedBy>
  <dcterms:created xsi:type="dcterms:W3CDTF">2020-09-22T12:14:51Z</dcterms:created>
  <dcterms:modified xsi:type="dcterms:W3CDTF">2023-03-08T11:05:36Z</dcterms:modified>
</cp:coreProperties>
</file>